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drawings/drawing7.xml" ContentType="application/vnd.openxmlformats-officedocument.drawing+xml"/>
  <Override PartName="/xl/drawings/drawing8.xml" ContentType="application/vnd.openxmlformats-officedocument.drawing+xml"/>
  <Override PartName="/xl/ink/ink1.xml" ContentType="application/inkml+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611"/>
  <workbookPr defaultThemeVersion="166925"/>
  <mc:AlternateContent xmlns:mc="http://schemas.openxmlformats.org/markup-compatibility/2006">
    <mc:Choice Requires="x15">
      <x15ac:absPath xmlns:x15ac="http://schemas.microsoft.com/office/spreadsheetml/2010/11/ac" url="https://d.docs.live.net/d55e916249d8decc/Documents/UDESA/05_Cuatrimestre/MercadoCapitales/"/>
    </mc:Choice>
  </mc:AlternateContent>
  <xr:revisionPtr revIDLastSave="2650" documentId="8_{E850421C-7A36-1E47-B706-44ECDD7E23C4}" xr6:coauthVersionLast="47" xr6:coauthVersionMax="47" xr10:uidLastSave="{46FD7EEC-9A8B-6C46-A232-C4068FB00FCE}"/>
  <bookViews>
    <workbookView xWindow="400" yWindow="880" windowWidth="33860" windowHeight="20280" activeTab="2" xr2:uid="{7F4C1189-5656-4B40-AB81-0ACDB54BE7EC}"/>
  </bookViews>
  <sheets>
    <sheet name="PROG" sheetId="3" r:id="rId1"/>
    <sheet name="REPASO" sheetId="9" r:id="rId2"/>
    <sheet name="GUIA 1" sheetId="6" r:id="rId3"/>
    <sheet name="GUIA 2" sheetId="11" r:id="rId4"/>
    <sheet name="T2_19.06" sheetId="19" r:id="rId5"/>
    <sheet name="T1_05.06" sheetId="1" r:id="rId6"/>
    <sheet name="DAMODARAN" sheetId="13" r:id="rId7"/>
    <sheet name="DCF Model" sheetId="15" r:id="rId8"/>
    <sheet name="C14_22.05" sheetId="7" r:id="rId9"/>
    <sheet name="C15_29.05" sheetId="8" r:id="rId10"/>
    <sheet name="C16_02.06" sheetId="10" r:id="rId11"/>
    <sheet name="C17_05.06" sheetId="12" r:id="rId12"/>
    <sheet name="C18_09.06 " sheetId="4" r:id="rId13"/>
    <sheet name="C19_10.06" sheetId="14" r:id="rId14"/>
    <sheet name="C20_12.06" sheetId="16" r:id="rId15"/>
    <sheet name="C21_16.06" sheetId="17" r:id="rId16"/>
    <sheet name="F" sheetId="18" r:id="rId17"/>
  </sheets>
  <definedNames>
    <definedName name="_xlchart.v1.0" hidden="1">'DCF Model'!$L$36:$L$38</definedName>
    <definedName name="_xlchart.v1.1" hidden="1">'DCF Model'!$N$36:$N$38</definedName>
    <definedName name="_xlchart.v1.2" hidden="1">'DCF Model'!$L$36:$L$38</definedName>
    <definedName name="_xlchart.v1.3" hidden="1">'DCF Model'!$N$36:$N$38</definedName>
    <definedName name="CIQWBGuid" hidden="1">"2cd8126d-26c3-430c-b7fa-a069e3a1fc62"</definedName>
    <definedName name="IQ_CH" hidden="1">110000</definedName>
    <definedName name="IQ_CQ" hidden="1">5000</definedName>
    <definedName name="IQ_CY" hidden="1">10000</definedName>
    <definedName name="IQ_DAILY" hidden="1">500000</definedName>
    <definedName name="IQ_DNTM" hidden="1">700000</definedName>
    <definedName name="IQ_FH" hidden="1">100000</definedName>
    <definedName name="IQ_FQ" hidden="1">500</definedName>
    <definedName name="IQ_FWD_CY" hidden="1">10001</definedName>
    <definedName name="IQ_FWD_CY1" hidden="1">10002</definedName>
    <definedName name="IQ_FWD_CY2" hidden="1">10003</definedName>
    <definedName name="IQ_FWD_FY" hidden="1">1001</definedName>
    <definedName name="IQ_FWD_FY1" hidden="1">1002</definedName>
    <definedName name="IQ_FWD_FY2" hidden="1">1003</definedName>
    <definedName name="IQ_FWD_Q" hidden="1">501</definedName>
    <definedName name="IQ_FWD_Q1" hidden="1">502</definedName>
    <definedName name="IQ_FWD_Q2" hidden="1">503</definedName>
    <definedName name="IQ_FY" hidden="1">1000</definedName>
    <definedName name="IQ_LATESTK" hidden="1">1000</definedName>
    <definedName name="IQ_LATESTQ" hidden="1">500</definedName>
    <definedName name="IQ_LTM" hidden="1">2000</definedName>
    <definedName name="IQ_LTMMONTH" hidden="1">120000</definedName>
    <definedName name="IQ_MONTH" hidden="1">15000</definedName>
    <definedName name="IQ_MTD" hidden="1">800000</definedName>
    <definedName name="IQ_NAMES_REVISION_DATE_" hidden="1">41666.7099189815</definedName>
    <definedName name="IQ_NTM" hidden="1">6000</definedName>
    <definedName name="IQ_QTD" hidden="1">750000</definedName>
    <definedName name="IQ_TODAY" hidden="1">0</definedName>
    <definedName name="IQ_WEEK" hidden="1">50000</definedName>
    <definedName name="IQ_YTD" hidden="1">3000</definedName>
    <definedName name="IQ_YTDMONTH" hidden="1">130000</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H6" i="18" l="1"/>
  <c r="F128" i="16"/>
  <c r="I132" i="16"/>
  <c r="I130" i="16"/>
  <c r="E127" i="16"/>
  <c r="F127" i="16"/>
  <c r="E130" i="16"/>
  <c r="E125" i="16"/>
  <c r="F125" i="16" s="1"/>
  <c r="H97" i="16"/>
  <c r="F97" i="16"/>
  <c r="F96" i="16"/>
  <c r="E85" i="16"/>
  <c r="E84" i="16"/>
  <c r="H61" i="16"/>
  <c r="G61" i="16"/>
  <c r="G62" i="16" s="1"/>
  <c r="D61" i="16"/>
  <c r="G63" i="16" s="1"/>
  <c r="H65" i="16" s="1"/>
  <c r="H67" i="16" s="1"/>
  <c r="I133" i="16" l="1"/>
  <c r="I135" i="16" s="1"/>
  <c r="F130" i="16" s="1"/>
  <c r="F131" i="16" s="1"/>
  <c r="E131" i="16"/>
  <c r="D240" i="14" l="1"/>
  <c r="D239" i="14"/>
  <c r="D238" i="14"/>
  <c r="D224" i="14"/>
  <c r="D237" i="14" s="1"/>
  <c r="D236" i="14"/>
  <c r="D214" i="14"/>
  <c r="D148" i="14"/>
  <c r="E139" i="14"/>
  <c r="E137" i="14"/>
  <c r="E136" i="14"/>
  <c r="E135" i="14"/>
  <c r="D121" i="14"/>
  <c r="D117" i="14"/>
  <c r="E111" i="14"/>
  <c r="E109" i="14"/>
  <c r="E108" i="14"/>
  <c r="E106" i="14"/>
  <c r="E107" i="14"/>
  <c r="E105" i="14"/>
  <c r="E104" i="14"/>
  <c r="D92" i="14"/>
  <c r="H72" i="14"/>
  <c r="H71" i="14"/>
  <c r="H70" i="14"/>
  <c r="D73" i="14"/>
  <c r="G53" i="14"/>
  <c r="H53" i="14"/>
  <c r="I53" i="14"/>
  <c r="F53" i="14"/>
  <c r="I58" i="14"/>
  <c r="H58" i="14"/>
  <c r="G58" i="14"/>
  <c r="F58" i="14"/>
  <c r="G57" i="14"/>
  <c r="H57" i="14"/>
  <c r="I57" i="14"/>
  <c r="F57" i="14"/>
  <c r="F51" i="14"/>
  <c r="G51" i="14"/>
  <c r="H51" i="14"/>
  <c r="I51" i="14"/>
  <c r="E51" i="14"/>
  <c r="F49" i="14"/>
  <c r="G49" i="14"/>
  <c r="H49" i="14"/>
  <c r="I49" i="14"/>
  <c r="E49" i="14"/>
  <c r="E48" i="14"/>
  <c r="E47" i="14"/>
  <c r="E46" i="14"/>
  <c r="E45" i="14"/>
  <c r="F45" i="14" s="1"/>
  <c r="E26" i="15"/>
  <c r="D18" i="15"/>
  <c r="E18" i="15"/>
  <c r="E17" i="15" s="1"/>
  <c r="F18" i="15"/>
  <c r="G18" i="15"/>
  <c r="H18" i="15"/>
  <c r="F19" i="15"/>
  <c r="G19" i="15"/>
  <c r="H19" i="15"/>
  <c r="I19" i="15"/>
  <c r="I18" i="15" s="1"/>
  <c r="N19" i="15"/>
  <c r="E22" i="15"/>
  <c r="F22" i="15"/>
  <c r="G22" i="15"/>
  <c r="G26" i="15" s="1"/>
  <c r="H22" i="15"/>
  <c r="I22" i="15"/>
  <c r="I26" i="15" s="1"/>
  <c r="N18" i="15" s="1"/>
  <c r="N20" i="15" s="1"/>
  <c r="J27" i="15" s="1"/>
  <c r="E24" i="15"/>
  <c r="F24" i="15"/>
  <c r="G24" i="15"/>
  <c r="H24" i="15"/>
  <c r="I24" i="15"/>
  <c r="F26" i="15"/>
  <c r="H26" i="15"/>
  <c r="I32" i="15"/>
  <c r="I35" i="15" s="1"/>
  <c r="D27" i="15" s="1"/>
  <c r="D29" i="15" s="1"/>
  <c r="D33" i="15"/>
  <c r="I33" i="15"/>
  <c r="D34" i="15"/>
  <c r="I34" i="15"/>
  <c r="I37" i="15"/>
  <c r="N36" i="15" s="1"/>
  <c r="F46" i="14" l="1"/>
  <c r="F47" i="14" s="1"/>
  <c r="G45" i="14"/>
  <c r="F48" i="14"/>
  <c r="G20" i="15"/>
  <c r="H20" i="15"/>
  <c r="H29" i="15" s="1"/>
  <c r="F20" i="15"/>
  <c r="F29" i="15" s="1"/>
  <c r="J18" i="15"/>
  <c r="I17" i="15"/>
  <c r="I20" i="15"/>
  <c r="I28" i="15" s="1"/>
  <c r="J29" i="15"/>
  <c r="J28" i="15"/>
  <c r="G29" i="15"/>
  <c r="G28" i="15"/>
  <c r="E20" i="15"/>
  <c r="E28" i="15" s="1"/>
  <c r="G17" i="15"/>
  <c r="F17" i="15"/>
  <c r="H28" i="15"/>
  <c r="H17" i="15"/>
  <c r="G48" i="14" l="1"/>
  <c r="H45" i="14"/>
  <c r="G46" i="14"/>
  <c r="G47" i="14" s="1"/>
  <c r="I29" i="15"/>
  <c r="E29" i="15"/>
  <c r="F28" i="15"/>
  <c r="D32" i="15" s="1"/>
  <c r="D35" i="15" s="1"/>
  <c r="D37" i="15" s="1"/>
  <c r="N33" i="15"/>
  <c r="D261" i="4"/>
  <c r="D259" i="4"/>
  <c r="D251" i="4"/>
  <c r="D236" i="4"/>
  <c r="D257" i="4" s="1"/>
  <c r="D230" i="4"/>
  <c r="D253" i="4" s="1"/>
  <c r="D255" i="4" s="1"/>
  <c r="D165" i="4"/>
  <c r="C173" i="4" s="1"/>
  <c r="C176" i="4" s="1"/>
  <c r="E157" i="4"/>
  <c r="C95" i="4"/>
  <c r="C94" i="4"/>
  <c r="C85" i="4"/>
  <c r="C79" i="4"/>
  <c r="C77" i="4"/>
  <c r="C87" i="4" s="1"/>
  <c r="C96" i="4" s="1"/>
  <c r="E39" i="4"/>
  <c r="E42" i="4"/>
  <c r="C69" i="4" s="1"/>
  <c r="I54" i="4"/>
  <c r="H54" i="4"/>
  <c r="I56" i="4"/>
  <c r="I57" i="4"/>
  <c r="I58" i="4" s="1"/>
  <c r="H56" i="4"/>
  <c r="H57" i="4"/>
  <c r="E29" i="4"/>
  <c r="E30" i="4"/>
  <c r="E31" i="4" s="1"/>
  <c r="C55" i="4"/>
  <c r="C54" i="4"/>
  <c r="C68" i="4" s="1"/>
  <c r="C53" i="4"/>
  <c r="C76" i="4" s="1"/>
  <c r="C86" i="4" s="1"/>
  <c r="C52" i="4"/>
  <c r="C75" i="4" s="1"/>
  <c r="I45" i="14" l="1"/>
  <c r="H46" i="14"/>
  <c r="H47" i="14" s="1"/>
  <c r="H48" i="14"/>
  <c r="N32" i="15"/>
  <c r="N37" i="15"/>
  <c r="N38" i="15" s="1"/>
  <c r="I60" i="4"/>
  <c r="H58" i="4"/>
  <c r="H60" i="4" s="1"/>
  <c r="H62" i="4" s="1"/>
  <c r="C56" i="4" s="1"/>
  <c r="B61" i="13"/>
  <c r="B60" i="13"/>
  <c r="B59" i="13"/>
  <c r="B63" i="13" s="1"/>
  <c r="I36" i="13"/>
  <c r="I35" i="13"/>
  <c r="I39" i="13" s="1"/>
  <c r="I40" i="13" s="1"/>
  <c r="I63" i="12"/>
  <c r="G63" i="12" s="1"/>
  <c r="G62" i="12"/>
  <c r="L65" i="12"/>
  <c r="L66" i="12" s="1"/>
  <c r="C33" i="12"/>
  <c r="G57" i="12" s="1"/>
  <c r="L62" i="12"/>
  <c r="L63" i="12" s="1"/>
  <c r="C64" i="12"/>
  <c r="C65" i="12" s="1"/>
  <c r="C66" i="12" s="1"/>
  <c r="E57" i="12"/>
  <c r="D57" i="12"/>
  <c r="G61" i="12"/>
  <c r="E58" i="12"/>
  <c r="E59" i="12"/>
  <c r="E60" i="12"/>
  <c r="E61" i="12"/>
  <c r="E62" i="12"/>
  <c r="C58" i="12"/>
  <c r="D58" i="12" s="1"/>
  <c r="C59" i="12"/>
  <c r="D59" i="12" s="1"/>
  <c r="F59" i="12" s="1"/>
  <c r="C60" i="12"/>
  <c r="D60" i="12" s="1"/>
  <c r="F60" i="12" s="1"/>
  <c r="C61" i="12"/>
  <c r="D61" i="12" s="1"/>
  <c r="F61" i="12" s="1"/>
  <c r="C62" i="12"/>
  <c r="D62" i="12" s="1"/>
  <c r="F34" i="12"/>
  <c r="C49" i="12"/>
  <c r="I48" i="14" l="1"/>
  <c r="I46" i="14"/>
  <c r="I47" i="14" s="1"/>
  <c r="C59" i="4"/>
  <c r="C67" i="4" s="1"/>
  <c r="C71" i="4" s="1"/>
  <c r="C78" i="4"/>
  <c r="C58" i="4"/>
  <c r="H59" i="12"/>
  <c r="H61" i="12"/>
  <c r="G60" i="12"/>
  <c r="H60" i="12"/>
  <c r="G59" i="12"/>
  <c r="G58" i="12"/>
  <c r="I64" i="12"/>
  <c r="I65" i="12" s="1"/>
  <c r="G65" i="12" s="1"/>
  <c r="F58" i="12"/>
  <c r="H58" i="12" s="1"/>
  <c r="E63" i="12"/>
  <c r="E64" i="12" s="1"/>
  <c r="I37" i="13"/>
  <c r="D63" i="12"/>
  <c r="D64" i="12" s="1"/>
  <c r="D65" i="12" s="1"/>
  <c r="D66" i="12" s="1"/>
  <c r="D67" i="12" s="1"/>
  <c r="F72" i="12" s="1"/>
  <c r="F62" i="12"/>
  <c r="H62" i="12" s="1"/>
  <c r="F57" i="12"/>
  <c r="I66" i="12"/>
  <c r="C88" i="4" l="1"/>
  <c r="D243" i="4"/>
  <c r="C81" i="4"/>
  <c r="F63" i="12"/>
  <c r="H63" i="12" s="1"/>
  <c r="G64" i="12"/>
  <c r="E65" i="12"/>
  <c r="F64" i="12"/>
  <c r="H64" i="12" s="1"/>
  <c r="I67" i="12"/>
  <c r="G67" i="12" s="1"/>
  <c r="G66" i="12"/>
  <c r="C97" i="4" l="1"/>
  <c r="C99" i="4" s="1"/>
  <c r="C90" i="4"/>
  <c r="E66" i="12"/>
  <c r="F66" i="12" s="1"/>
  <c r="H66" i="12" s="1"/>
  <c r="F65" i="12"/>
  <c r="H65" i="12" s="1"/>
  <c r="F67" i="12"/>
  <c r="H67" i="12" s="1"/>
  <c r="F73" i="12"/>
  <c r="H68" i="12" l="1"/>
  <c r="H74" i="12"/>
  <c r="K218" i="1" l="1"/>
  <c r="L209" i="1"/>
  <c r="K209" i="1"/>
  <c r="L215" i="1"/>
  <c r="K215" i="1"/>
  <c r="L214" i="1"/>
  <c r="K214" i="1"/>
  <c r="L208" i="1"/>
  <c r="J208" i="1"/>
  <c r="K208" i="1" s="1"/>
  <c r="K201" i="1"/>
  <c r="J201" i="1"/>
  <c r="J181" i="1"/>
  <c r="J177" i="1"/>
  <c r="J180" i="1"/>
  <c r="J176" i="1"/>
  <c r="J167" i="1" l="1"/>
  <c r="K165" i="1"/>
  <c r="J157" i="1"/>
  <c r="J160" i="1" s="1"/>
  <c r="K160" i="1" s="1"/>
  <c r="Q132" i="1"/>
  <c r="Q133" i="1"/>
  <c r="Q134" i="1"/>
  <c r="Q135" i="1"/>
  <c r="Q131" i="1"/>
  <c r="P132" i="1"/>
  <c r="P133" i="1"/>
  <c r="P134" i="1"/>
  <c r="P135" i="1"/>
  <c r="P131" i="1"/>
  <c r="K106" i="1"/>
  <c r="L114" i="1" s="1"/>
  <c r="L115" i="1"/>
  <c r="L113" i="1"/>
  <c r="K114" i="1"/>
  <c r="K115" i="1"/>
  <c r="K113" i="1"/>
  <c r="K107" i="1"/>
  <c r="K105" i="1"/>
  <c r="K88" i="1"/>
  <c r="K87" i="1"/>
  <c r="J87" i="1"/>
  <c r="K78" i="1"/>
  <c r="K76" i="1"/>
  <c r="K75" i="1"/>
  <c r="O41" i="1"/>
  <c r="M39" i="1"/>
  <c r="L38" i="1"/>
  <c r="G29" i="1"/>
  <c r="D11" i="1"/>
  <c r="D12" i="1"/>
  <c r="D10" i="1"/>
  <c r="O28" i="10"/>
  <c r="O29" i="10" s="1"/>
  <c r="O30" i="10" s="1"/>
  <c r="O31" i="10" s="1"/>
  <c r="O32" i="10" s="1"/>
  <c r="O33" i="10" s="1"/>
  <c r="E58" i="10"/>
  <c r="H58" i="10" s="1"/>
  <c r="I58" i="10" s="1"/>
  <c r="D58" i="10"/>
  <c r="D59" i="10" s="1"/>
  <c r="E57" i="10"/>
  <c r="H57" i="10" s="1"/>
  <c r="I57" i="10" s="1"/>
  <c r="C56" i="10"/>
  <c r="G57" i="10" s="1"/>
  <c r="J57" i="10" s="1"/>
  <c r="D28" i="10"/>
  <c r="E28" i="10" s="1"/>
  <c r="E27" i="10"/>
  <c r="D27" i="10"/>
  <c r="L27" i="10" s="1"/>
  <c r="G26" i="10"/>
  <c r="A26" i="10" s="1"/>
  <c r="E26" i="10"/>
  <c r="H26" i="10" s="1"/>
  <c r="I26" i="10" s="1"/>
  <c r="C26" i="10"/>
  <c r="C25" i="10"/>
  <c r="G16" i="10"/>
  <c r="G13" i="10"/>
  <c r="F309" i="8"/>
  <c r="C309" i="8"/>
  <c r="E307" i="8"/>
  <c r="E305" i="8"/>
  <c r="G273" i="8"/>
  <c r="C301" i="8"/>
  <c r="F275" i="8"/>
  <c r="C303" i="8" s="1"/>
  <c r="F272" i="8"/>
  <c r="C288" i="8" s="1"/>
  <c r="H291" i="8" s="1"/>
  <c r="B207" i="8"/>
  <c r="F207" i="8" s="1"/>
  <c r="F192" i="8"/>
  <c r="F190" i="8"/>
  <c r="C191" i="8"/>
  <c r="F191" i="8" s="1"/>
  <c r="C192" i="8"/>
  <c r="C190" i="8"/>
  <c r="C203" i="8"/>
  <c r="E135" i="8"/>
  <c r="E136" i="8" s="1"/>
  <c r="C129" i="8"/>
  <c r="H117" i="8"/>
  <c r="C125" i="8"/>
  <c r="I136" i="8"/>
  <c r="I137" i="8" s="1"/>
  <c r="I135" i="8"/>
  <c r="F117" i="8"/>
  <c r="D129" i="8" s="1"/>
  <c r="M28" i="10" l="1"/>
  <c r="H28" i="10"/>
  <c r="I28" i="10" s="1"/>
  <c r="C27" i="10"/>
  <c r="K26" i="10"/>
  <c r="G27" i="10"/>
  <c r="J27" i="10" s="1"/>
  <c r="O27" i="10" s="1"/>
  <c r="D60" i="10"/>
  <c r="E59" i="10"/>
  <c r="H59" i="10" s="1"/>
  <c r="I59" i="10" s="1"/>
  <c r="M27" i="10"/>
  <c r="H27" i="10"/>
  <c r="I27" i="10" s="1"/>
  <c r="D29" i="10"/>
  <c r="C57" i="10"/>
  <c r="G28" i="10"/>
  <c r="J28" i="10" s="1"/>
  <c r="J26" i="10"/>
  <c r="L28" i="10"/>
  <c r="C290" i="8"/>
  <c r="H292" i="8" s="1"/>
  <c r="D288" i="8"/>
  <c r="H289" i="8" s="1"/>
  <c r="E303" i="8"/>
  <c r="F194" i="8"/>
  <c r="F214" i="8" s="1"/>
  <c r="H293" i="8"/>
  <c r="H294" i="8" s="1"/>
  <c r="H290" i="8"/>
  <c r="C126" i="8"/>
  <c r="G129" i="8" s="1"/>
  <c r="E141" i="8"/>
  <c r="E137" i="8"/>
  <c r="L143" i="8"/>
  <c r="D61" i="10" l="1"/>
  <c r="E60" i="10"/>
  <c r="H60" i="10" s="1"/>
  <c r="I60" i="10" s="1"/>
  <c r="A27" i="10"/>
  <c r="G58" i="10"/>
  <c r="J58" i="10" s="1"/>
  <c r="C58" i="10"/>
  <c r="A28" i="10"/>
  <c r="K27" i="10"/>
  <c r="C28" i="10"/>
  <c r="G29" i="10" s="1"/>
  <c r="D30" i="10"/>
  <c r="E29" i="10"/>
  <c r="L29" i="10"/>
  <c r="H295" i="8"/>
  <c r="E142" i="8"/>
  <c r="E143" i="8" s="1"/>
  <c r="M29" i="10" l="1"/>
  <c r="H29" i="10"/>
  <c r="I29" i="10" s="1"/>
  <c r="J29" i="10" s="1"/>
  <c r="D62" i="10"/>
  <c r="E61" i="10"/>
  <c r="H61" i="10" s="1"/>
  <c r="I61" i="10" s="1"/>
  <c r="K28" i="10"/>
  <c r="C29" i="10"/>
  <c r="A29" i="10"/>
  <c r="C59" i="10"/>
  <c r="G59" i="10"/>
  <c r="J59" i="10" s="1"/>
  <c r="D31" i="10"/>
  <c r="E30" i="10"/>
  <c r="L30" i="10"/>
  <c r="C60" i="10" l="1"/>
  <c r="G60" i="10"/>
  <c r="J60" i="10" s="1"/>
  <c r="K29" i="10"/>
  <c r="C30" i="10"/>
  <c r="G31" i="10" s="1"/>
  <c r="A30" i="10"/>
  <c r="E62" i="10"/>
  <c r="H62" i="10" s="1"/>
  <c r="I62" i="10" s="1"/>
  <c r="D63" i="10"/>
  <c r="M30" i="10"/>
  <c r="H30" i="10"/>
  <c r="I30" i="10" s="1"/>
  <c r="G30" i="10"/>
  <c r="J30" i="10" s="1"/>
  <c r="L31" i="10"/>
  <c r="E31" i="10"/>
  <c r="E63" i="10" l="1"/>
  <c r="H63" i="10" s="1"/>
  <c r="I63" i="10" s="1"/>
  <c r="H31" i="10"/>
  <c r="I31" i="10" s="1"/>
  <c r="J31" i="10" s="1"/>
  <c r="M31" i="10"/>
  <c r="C61" i="10"/>
  <c r="G61" i="10"/>
  <c r="J61" i="10" s="1"/>
  <c r="C31" i="10"/>
  <c r="A31" i="10"/>
  <c r="K30" i="10"/>
  <c r="D32" i="10" l="1"/>
  <c r="C32" i="10"/>
  <c r="K31" i="10"/>
  <c r="C62" i="10"/>
  <c r="G62" i="10"/>
  <c r="J62" i="10" s="1"/>
  <c r="D67" i="10" l="1"/>
  <c r="G63" i="10"/>
  <c r="J63" i="10" s="1"/>
  <c r="C33" i="10"/>
  <c r="K33" i="10" s="1"/>
  <c r="K32" i="10"/>
  <c r="D33" i="10"/>
  <c r="L32" i="10"/>
  <c r="G32" i="10"/>
  <c r="E32" i="10"/>
  <c r="M32" i="10" l="1"/>
  <c r="H32" i="10"/>
  <c r="I32" i="10" s="1"/>
  <c r="J32" i="10"/>
  <c r="A32" i="10"/>
  <c r="E33" i="10"/>
  <c r="L33" i="10"/>
  <c r="G33" i="10"/>
  <c r="A33" i="10" l="1"/>
  <c r="M33" i="10"/>
  <c r="H33" i="10"/>
  <c r="I33" i="10" s="1"/>
  <c r="J33" i="10" s="1"/>
  <c r="O72" i="8" l="1"/>
  <c r="O76" i="8" s="1"/>
  <c r="O71" i="8"/>
  <c r="O57" i="8"/>
  <c r="O56" i="8"/>
  <c r="O59" i="8" s="1"/>
  <c r="C11" i="6"/>
  <c r="C12" i="6"/>
  <c r="C10" i="6"/>
  <c r="B56" i="7"/>
  <c r="O79" i="8" l="1"/>
  <c r="O77" i="8"/>
  <c r="B8" i="3" l="1"/>
</calcChain>
</file>

<file path=xl/sharedStrings.xml><?xml version="1.0" encoding="utf-8"?>
<sst xmlns="http://schemas.openxmlformats.org/spreadsheetml/2006/main" count="1080" uniqueCount="854">
  <si>
    <t>RENTA VARIABLE 1</t>
  </si>
  <si>
    <t>Mercados de Acciones Local e internacional. Valuación intrínseca uilizando modelos de DDM, FCFE y FCFF.</t>
  </si>
  <si>
    <t xml:space="preserve">Damodaran, Aswath. “Narrative and numbers. The value of stories in business”, Columbia business School Publishing, 2017. Capítulos 7, 8 y 9. </t>
  </si>
  <si>
    <t xml:space="preserve">Stowe, John D.; Robinson, Thomas R.; McLeavey, Dennis W.; Pinto, Jerald E. .Equity Asset Valuation. CFA Institute Investment Series, John Wiley And Sons, 2007. Capítulo 1 y 2. </t>
  </si>
  <si>
    <t xml:space="preserve">Guillermo López Dumrauf "Cálculo Financiero Aplicado" (Un enfoque Profesional), 2o Ed. actualizada y ampliada. Edit. La Ley, 2006 (reimpresión 2009) Capitulo 7. </t>
  </si>
  <si>
    <t>RENTA VARIABLE 2</t>
  </si>
  <si>
    <t>Análisis Fundamental: valuación Relativa. Screening de acciones</t>
  </si>
  <si>
    <t xml:space="preserve">Damodaran, Aswath. “Investment Valuation: Tools and Techniques for Determining the Value of Any Asset”, John Wiley &amp; Sons, 1996. Capítulos 14,15 y 16 </t>
  </si>
  <si>
    <t>Kaye, Michael. “The Standard &amp; Poor's Guide to Selecting Stocks”. McGraw-Hill, 2006. Capítulos 4,5,6,7 y 8.</t>
  </si>
  <si>
    <t>RENTA VARIABLE 3</t>
  </si>
  <si>
    <t>Análisis Técnico: figuras técnicas e indicadores cuantitativos.</t>
  </si>
  <si>
    <t xml:space="preserve">CFA Institute. Ethical and Professional Standards and Quantitative Methods. CFA Program Curriculum, Level I, volume 1, 2011. Reading 12 </t>
  </si>
  <si>
    <t>Murphy, John. “Technical Analysis of the Financial Markets”. New York Institute of Finance; SUB UPD EX edition , 1999</t>
  </si>
  <si>
    <t>EFICIENCIA</t>
  </si>
  <si>
    <t>Concepto de eficiencia de mercados. Formas de eficiencia de mercados. Anomalías en los mercados y behavioral finance. Filosofias de Inversión: Value invector, Growth Investor y momentum investor.</t>
  </si>
  <si>
    <t xml:space="preserve">Damodaran, A. (2012). Investment philosophies: successful strategies and the investors who made them work (2a ed.). New Jersey: Wiley. Capítulo 6 </t>
  </si>
  <si>
    <t>Zvi Bodie &amp; Alex Kane &amp; Alan Marcus. (2004) Investments, Quinta Edición. España: MacGraw Hill. Capítulo 12</t>
  </si>
  <si>
    <t>CFA Institute. Equity and Fixed Income. CFA Program Curriculum, Level I, volume 5, 2011. Reading 57</t>
  </si>
  <si>
    <t>Ejemplo. Calculando FCFF y FCFE</t>
  </si>
  <si>
    <t>Se dispone de la siguiente informacion:</t>
  </si>
  <si>
    <t>Balance Sheet</t>
  </si>
  <si>
    <t>Income Statement</t>
  </si>
  <si>
    <t>Assets</t>
  </si>
  <si>
    <t>Total Revenues</t>
  </si>
  <si>
    <t>Current Assets</t>
  </si>
  <si>
    <t>Operating Costs and expenses</t>
  </si>
  <si>
    <t>Cash And Equivalents</t>
  </si>
  <si>
    <t>EBITDA</t>
  </si>
  <si>
    <t>Accounts Receivable</t>
  </si>
  <si>
    <t>Depreciation</t>
  </si>
  <si>
    <t>Inventory</t>
  </si>
  <si>
    <t>Operating Income (EBIT)</t>
  </si>
  <si>
    <t>Total current Assets</t>
  </si>
  <si>
    <t>Interest Expense</t>
  </si>
  <si>
    <t>Gross fixed Assets</t>
  </si>
  <si>
    <t>Income Before Tax</t>
  </si>
  <si>
    <t>Accumulated depreciation</t>
  </si>
  <si>
    <t>Taxes( 40%)</t>
  </si>
  <si>
    <t>Net Fixed Assets</t>
  </si>
  <si>
    <t xml:space="preserve">Net Income </t>
  </si>
  <si>
    <t>Total Assets</t>
  </si>
  <si>
    <t>Dividends</t>
  </si>
  <si>
    <t>Liabilities and Shareholders Equity</t>
  </si>
  <si>
    <t>Change in Retained Earnings</t>
  </si>
  <si>
    <t>Current Liabilities</t>
  </si>
  <si>
    <t>EPS</t>
  </si>
  <si>
    <t>Accounts payable</t>
  </si>
  <si>
    <t>Dividens per Share</t>
  </si>
  <si>
    <t>Notes Payable</t>
  </si>
  <si>
    <t>Accrued Taxes and Expenses</t>
  </si>
  <si>
    <t>Total Current Lialabilities</t>
  </si>
  <si>
    <t>Long Term Debt</t>
  </si>
  <si>
    <t>Common Stock</t>
  </si>
  <si>
    <t>Additional Paid in Capital</t>
  </si>
  <si>
    <t>Retained Earnings</t>
  </si>
  <si>
    <t>Total Shareholders equity</t>
  </si>
  <si>
    <t>1. Calcular FCFF a partir del NI</t>
  </si>
  <si>
    <t>Net Income</t>
  </si>
  <si>
    <t>NCC</t>
  </si>
  <si>
    <t>Interest exp after tax</t>
  </si>
  <si>
    <t>Investment in Fixed Capital</t>
  </si>
  <si>
    <t>Investment in Working Capital</t>
  </si>
  <si>
    <t>FCFF</t>
  </si>
  <si>
    <t>working capital</t>
  </si>
  <si>
    <t>Change WC</t>
  </si>
  <si>
    <t>2. Calcular FCFE a partir del FCFF</t>
  </si>
  <si>
    <t>Net Borrowing</t>
  </si>
  <si>
    <t>FCFE</t>
  </si>
  <si>
    <t>3. Calcular FCFE a partir del NI</t>
  </si>
  <si>
    <t>4. Calcular FCFF a partir EBIT</t>
  </si>
  <si>
    <t>EBIT(1-t)</t>
  </si>
  <si>
    <t>5. Calcular FCFF a partir EBITDA</t>
  </si>
  <si>
    <t>EBITDA(1-t)</t>
  </si>
  <si>
    <t>Dep*t</t>
  </si>
  <si>
    <t>Ejemplo. Modelo de Crecimiento constante en FCFF y FCFE</t>
  </si>
  <si>
    <t>Calgiati enterprices tien un FCFF de 700 millones de Francos Suizos, y un FCFE de 620 millones. El costo de la deuda</t>
  </si>
  <si>
    <t>antes de impuestos es 5.7% y su ROE es 11.8%.La estructura de capiatal de la companias es 20% deuda y 80% equity.</t>
  </si>
  <si>
    <t>Se tienen los siguientes datos:</t>
  </si>
  <si>
    <t>t=</t>
  </si>
  <si>
    <t>Se espera que la tasa de craciento de FCFF es 5%</t>
  </si>
  <si>
    <t>El valor de mercado de la deuda es 2200 millones</t>
  </si>
  <si>
    <t>Tiene 200 millones de acciones.</t>
  </si>
  <si>
    <t>Cual es el WACC?</t>
  </si>
  <si>
    <t xml:space="preserve"> VP de los flujos de la empresa</t>
  </si>
  <si>
    <t>Restamos el valor de Mercado de Deuda</t>
  </si>
  <si>
    <t>Precio de accion=</t>
  </si>
  <si>
    <t>Ejemplo. Free Cash Flow atado a Ventas</t>
  </si>
  <si>
    <t>Sabe que:</t>
  </si>
  <si>
    <t>Ventas crecieron 300 millones de 2006 a 2007</t>
  </si>
  <si>
    <t>Espera que las ventas crezcan 10%</t>
  </si>
  <si>
    <t>Espera que se mantenga el margen de EBIT y las proporciones incrementales de inversiones en capital fijo y capital de trabajo</t>
  </si>
  <si>
    <t>EBIT 2007:</t>
  </si>
  <si>
    <t>500 millones</t>
  </si>
  <si>
    <t xml:space="preserve">Margen EBIT es </t>
  </si>
  <si>
    <t>t:</t>
  </si>
  <si>
    <t>millones</t>
  </si>
  <si>
    <t>Incremental fixed capital investment</t>
  </si>
  <si>
    <t>Incremental working capital investment</t>
  </si>
  <si>
    <t>Forecast 2008</t>
  </si>
  <si>
    <t>Sales</t>
  </si>
  <si>
    <t>EBIT</t>
  </si>
  <si>
    <t>Incremental FC</t>
  </si>
  <si>
    <t>Incremental WC</t>
  </si>
  <si>
    <t>Espinosa decide proyectar FCFF por 5 anios.</t>
  </si>
  <si>
    <t xml:space="preserve">Piensa que el EBIT margin de Pitts Corporation va a caer de </t>
  </si>
  <si>
    <t>a</t>
  </si>
  <si>
    <t>Year 1</t>
  </si>
  <si>
    <t>Year 2</t>
  </si>
  <si>
    <t>Year 3</t>
  </si>
  <si>
    <t>Year 4</t>
  </si>
  <si>
    <t>Year 5</t>
  </si>
  <si>
    <t>Sales Growth</t>
  </si>
  <si>
    <t>EBIT margin</t>
  </si>
  <si>
    <t>tax rate</t>
  </si>
  <si>
    <t>Incremental FC investment</t>
  </si>
  <si>
    <t>Incremental WC investment</t>
  </si>
  <si>
    <t>Prior sales</t>
  </si>
  <si>
    <t>sales forecast</t>
  </si>
  <si>
    <t>EBIT forecast</t>
  </si>
  <si>
    <t>BETAS</t>
  </si>
  <si>
    <t>AOL</t>
  </si>
  <si>
    <t>JPM</t>
  </si>
  <si>
    <t>BOEING</t>
  </si>
  <si>
    <t>RISK-FREE</t>
  </si>
  <si>
    <t>ACCIONES</t>
  </si>
  <si>
    <t>VALUACION INTRINSECA</t>
  </si>
  <si>
    <t>TIPOS DE VALUACIONES</t>
  </si>
  <si>
    <t>Nada más valora carácterisitcas intrinsecas</t>
  </si>
  <si>
    <t>Tiene en cuenta solamente la capacidad de generar flujos y el riesgo</t>
  </si>
  <si>
    <t>DCF</t>
  </si>
  <si>
    <t>Compara con otros activos similares</t>
  </si>
  <si>
    <t>VALUACION RELATIVA</t>
  </si>
  <si>
    <t>VALOR VS PRECIO</t>
  </si>
  <si>
    <t>El precio de mercado surge de valoraciones</t>
  </si>
  <si>
    <t>La idea(la suposicion) es que al valuarse el mercado comete errores</t>
  </si>
  <si>
    <t>el verdadero valor es el que estimaríamos con algun modelo</t>
  </si>
  <si>
    <t>E(Ri) = Rf + βi * (E(Rm) - Rf)</t>
  </si>
  <si>
    <t>VAL</t>
  </si>
  <si>
    <t>INTRINSECA</t>
  </si>
  <si>
    <t xml:space="preserve"> VAL INTRINSECA</t>
  </si>
  <si>
    <t>FORMULAS</t>
  </si>
  <si>
    <t>RETORNO SOBRE CAPITAL PROPIO (ROE)</t>
  </si>
  <si>
    <t>BENEFICIONS POR ACCION (BPA)</t>
  </si>
  <si>
    <t>Patrimonio Neto en t-1</t>
  </si>
  <si>
    <t>numero total de acciones</t>
  </si>
  <si>
    <t>COEFICIENTE DE RETENCION</t>
  </si>
  <si>
    <t>DIVIDENDO POR ACCION</t>
  </si>
  <si>
    <t xml:space="preserve">BPA -DPA </t>
  </si>
  <si>
    <t>BPA</t>
  </si>
  <si>
    <t>Este es un indicador financiero que mide la capacidad de una empresa para generar beneficios a partir del capital propio o patrimonio neto. Se calcula dividiendo el Retorno Neto en el periodo "t" (generalmente es el beneficio neto después de impuestos en un año fiscal) por el Patrimonio Neto en el periodo "t-1" (el valor total del patrimonio neto de la empresa en el año fiscal anterior). En otras palabras, el ROE es la relación entre los beneficios generados y los recursos propios invertidos.</t>
  </si>
  <si>
    <t>Este indicador financiero mide el beneficio neto atribuible a cada acción en circulación de una empresa. Se calcula dividiendo el Retorno Neto en el periodo "t" (generalmente es el beneficio neto después de impuestos en un año fiscal) por el número total de acciones de la empresa. El BPA es un indicador clave de la rentabilidad de una empresa desde la perspectiva del accionista.</t>
  </si>
  <si>
    <t>Este es un ratio financiero que indica qué porcentaje del beneficio neto se retiene en la empresa en lugar de ser distribuido a los accionistas en forma de dividendos. Se calcula como el Beneficio por Acción (BPA) menos el Dividendo por Acción (DPA) dividido por el BPA. Es decir, es el porcentaje de los beneficios que no se distribuye en forma de dividendos.</t>
  </si>
  <si>
    <t>Este indicador financiero muestra cuánto dinero recibe cada accionista en forma de dividendos por cada acción que posee. Se calcula multiplicando el Beneficio por Acción (BPA) por el ratio de payout (la proporción de beneficios que una empresa decide distribuir en forma de dividendos). Es una forma de medir la distribución de la riqueza generada por la empresa a sus accionistas.</t>
  </si>
  <si>
    <t>EJEMPLO</t>
  </si>
  <si>
    <t>por la formula de valor actual de una perpetuidad</t>
  </si>
  <si>
    <t xml:space="preserve">p </t>
  </si>
  <si>
    <t>TASA DE DESCUENTO</t>
  </si>
  <si>
    <t>Se puede obtener usando CAPM</t>
  </si>
  <si>
    <t>TASA DE CRECIMEINTO</t>
  </si>
  <si>
    <t>ROE * COEFICIENTE DE RETENCION</t>
  </si>
  <si>
    <t>ES LA TASA DE CRECIMEINTO DEL PATRIMONIO NETO</t>
  </si>
  <si>
    <t>RESULTADO Neto en t</t>
  </si>
  <si>
    <t>MODELO EN 3 ETAPAS</t>
  </si>
  <si>
    <t>MODELO DE GORDON</t>
  </si>
  <si>
    <t>BPA / k</t>
  </si>
  <si>
    <t>Quiere decir que no hay crecimiento</t>
  </si>
  <si>
    <t>Osea que no reinvertis en la empresa, todo sale</t>
  </si>
  <si>
    <t>Si pasara que BPA = DPA</t>
  </si>
  <si>
    <t>BPA/k</t>
  </si>
  <si>
    <t>RN/nACC*k</t>
  </si>
  <si>
    <t>VAOC - VALOR ACTUAL DE LAS OPORTUNIDADES DE CRECIMIENTO</t>
  </si>
  <si>
    <t>DPA_T es lo que vas a ganar en el proximo periodo</t>
  </si>
  <si>
    <t>COSTO DE DEUDAS</t>
  </si>
  <si>
    <t>Con un ejemplo de obligaciones negociables /Bono</t>
  </si>
  <si>
    <t xml:space="preserve">El ( rendimiento al vencimiento - YTM - TIR )es el que queda al despejar </t>
  </si>
  <si>
    <t>el k de la ecuacion de valor actual</t>
  </si>
  <si>
    <t>P0 es el precio de mercado, Q los cupones y Pn el face value</t>
  </si>
  <si>
    <t>lo unico que no se conoce es el k que se puede despejar</t>
  </si>
  <si>
    <t>Supongamos que se quiere calcular el costo de la deuda para una empresa</t>
  </si>
  <si>
    <t>Lo que puede hacer esa empresa es encontrar en el mercado obligaciones</t>
  </si>
  <si>
    <t>de empresas similares en riesgo a sí misma y despejar el rendimiento k de la ecion</t>
  </si>
  <si>
    <t>eso le va a decir cuál es el rendimiento que los inversores exigen en el mercado por</t>
  </si>
  <si>
    <t>una obligacion como la que esta empresa podría emitir</t>
  </si>
  <si>
    <t>Entonces, cuando la empresa va a emitir deuda y quiere analizar el costo de emitir deuda,</t>
  </si>
  <si>
    <t>eso se hace pensando que la financiacion ajena alimenta una posible inversion futura</t>
  </si>
  <si>
    <t>por eso lo que se quiere saber es el rendimiento minimo que el mercado desea obtener</t>
  </si>
  <si>
    <t>por dicha emision</t>
  </si>
  <si>
    <r>
      <t xml:space="preserve">Ese minimo rendimiento es el </t>
    </r>
    <r>
      <rPr>
        <b/>
        <sz val="12"/>
        <color theme="1"/>
        <rFont val="Calibri"/>
        <family val="2"/>
        <scheme val="minor"/>
      </rPr>
      <t>costo de la deuda</t>
    </r>
    <r>
      <rPr>
        <sz val="12"/>
        <color theme="1"/>
        <rFont val="Calibri"/>
        <family val="2"/>
        <scheme val="minor"/>
      </rPr>
      <t xml:space="preserve"> que sirve como linea base para </t>
    </r>
  </si>
  <si>
    <t>la rentabilidad que deberia tener la inversion futura para que todo el proyecto sea viable</t>
  </si>
  <si>
    <t xml:space="preserve">Ahora, supongamos que tenemos una empresa similar a la nuestra que emite deuda </t>
  </si>
  <si>
    <t>que k = 9,30%</t>
  </si>
  <si>
    <t>Ese sería el redimiento que el mercado espera y es lo que debería pagar anualmente el bono</t>
  </si>
  <si>
    <t>que emita nuestra empresa (el cupon)</t>
  </si>
  <si>
    <t>El rendimiento al vencimiento y la tasa del cupón va a ser la misma solo en el momento inicial</t>
  </si>
  <si>
    <t>y solo si el valor nominal coincide con el precio</t>
  </si>
  <si>
    <t>y al despejar el rendimiento que el mercado exige por la deuda de esa empresa obtenemos</t>
  </si>
  <si>
    <t>El costo de los distintos tipos de deudas de la empresa va a venir dado por</t>
  </si>
  <si>
    <t>el tipo. de interes efectivo pagado a vada clase despues de deducir esos intereses de impuestos a ganancias</t>
  </si>
  <si>
    <t>Ese tipo de intereses que representa el costo de la deuda es en realidad el tipo de interes (YTM) pagado</t>
  </si>
  <si>
    <t xml:space="preserve">en el mercado a cambio de deuda de empresas similares (mismo riesgo y vencimiento) </t>
  </si>
  <si>
    <t>Por ejemplo, la empresa que emite un bono que en el mercado tiene un YTM de 9,3%, entonces</t>
  </si>
  <si>
    <t>si imaginamos que el costo impositivo marginal es de 30%</t>
  </si>
  <si>
    <r>
      <t xml:space="preserve">el costo que representa </t>
    </r>
    <r>
      <rPr>
        <i/>
        <sz val="12"/>
        <color theme="1"/>
        <rFont val="Calibri"/>
        <family val="2"/>
        <scheme val="minor"/>
      </rPr>
      <t>para la empresa</t>
    </r>
    <r>
      <rPr>
        <sz val="12"/>
        <color theme="1"/>
        <rFont val="Calibri"/>
        <family val="2"/>
        <scheme val="minor"/>
      </rPr>
      <t xml:space="preserve"> es de </t>
    </r>
  </si>
  <si>
    <t>COSTO DE ACCIONES PREFERIDAS</t>
  </si>
  <si>
    <r>
      <t xml:space="preserve">Es asi que los cupones que deban pagarse </t>
    </r>
    <r>
      <rPr>
        <i/>
        <sz val="12"/>
        <color theme="1"/>
        <rFont val="Calibri"/>
        <family val="2"/>
        <scheme val="minor"/>
      </rPr>
      <t>no son el costo de la deuda</t>
    </r>
  </si>
  <si>
    <t>Pero a partir de ese momento el cupón es constante en el tiempo y la YTM varían constantemente</t>
  </si>
  <si>
    <r>
      <t xml:space="preserve">Pero </t>
    </r>
    <r>
      <rPr>
        <b/>
        <sz val="12"/>
        <color theme="1"/>
        <rFont val="Calibri"/>
        <family val="2"/>
        <scheme val="minor"/>
      </rPr>
      <t>no es lo mismo el cupon que el rendimiento al vencimiento</t>
    </r>
  </si>
  <si>
    <t>k * (1- t) =</t>
  </si>
  <si>
    <t>0,093 * (1 - 0,3) = 0,0651</t>
  </si>
  <si>
    <t xml:space="preserve">el costo que representa para la empresa es de 0,0651 anual </t>
  </si>
  <si>
    <t>Las acciones preferidas estan en el medio entre obligaciones negociables y acciones ordinarias</t>
  </si>
  <si>
    <t>como las primeras, pagan dividendo constante pero</t>
  </si>
  <si>
    <t>como las segundas, no son deducibles fiscalmente, no es obligatorio que la empresa te las pague si hay perdidas y</t>
  </si>
  <si>
    <t>no tienen un plazo de vida como las ON (en general son ilimitadas)</t>
  </si>
  <si>
    <t>El costo de emitir un accion preferida va a estar relacionado con el dividendo a pagar (menos costo de emision)</t>
  </si>
  <si>
    <t>y el precio de mercado</t>
  </si>
  <si>
    <t xml:space="preserve"> el costo de una nueva emision va a ser: </t>
  </si>
  <si>
    <t>tienen precio de mercado de 47 usd, y el banco cobra 2% del valor nominal por emitir</t>
  </si>
  <si>
    <t>Kp = 5 / (47 - 0.02*50) = 5 / (47 - 1) = 10,87% anual</t>
  </si>
  <si>
    <t>La tasa de rendmiento requerida va a ser:</t>
  </si>
  <si>
    <t>5 / 47 = 10,64%</t>
  </si>
  <si>
    <t>(el 0,23% (10,87%-10,64%) es lo que se lleva el banco)</t>
  </si>
  <si>
    <t>COSTO DE ACCIONES ORDINARIAS</t>
  </si>
  <si>
    <t>Por ejemplo, una empresa que emitió acciones preferidas por VN = 50 usd y promete un dividendo de 10%</t>
  </si>
  <si>
    <t>(tal que el valor en el mercado de nuestros titulos no descienda)</t>
  </si>
  <si>
    <t xml:space="preserve">En este caso lo que queremos es hallar una tasa de rendimiento para nuestras acciones preferidas </t>
  </si>
  <si>
    <t xml:space="preserve">que quisieramos emitir. Esa tasa va a ser  igial a la tasa de rendmiento requerida en el mercado, </t>
  </si>
  <si>
    <t>menos costo marginal impositivo</t>
  </si>
  <si>
    <t>Entonces lo interpretas como perpetuidad</t>
  </si>
  <si>
    <t>BPA = RN / nACC</t>
  </si>
  <si>
    <t>DPA</t>
  </si>
  <si>
    <t>DPA = BPA * payout</t>
  </si>
  <si>
    <t>entonces el payout ratio es 1 (no reinvierto nada - por ende no crece la empresa)</t>
  </si>
  <si>
    <t>MODELO DE CRECIMIENTO DE DIVIDENDOS</t>
  </si>
  <si>
    <t>RETORNO</t>
  </si>
  <si>
    <t>TUTORIALES</t>
  </si>
  <si>
    <t>GUIA 1</t>
  </si>
  <si>
    <t>GUIA 2</t>
  </si>
  <si>
    <t>es la tasa de rendimeinto que debe obtener la empresa por cada proyecto que financia con pantrimonio neto</t>
  </si>
  <si>
    <t>para que se mantenga la cotizacion de sus acciones en el mercado</t>
  </si>
  <si>
    <t>O bien, es el minimo rendimiento que demandan los accionistas a cambio de no vender las acciones de tu empresa</t>
  </si>
  <si>
    <t>e irse a otra con mismo riesgo pero mas rendimineto</t>
  </si>
  <si>
    <t>Este es el mayor costo de financiacion (tiene el mayor riesgo)</t>
  </si>
  <si>
    <t>Es el costo del patrimonio neto, es l oque tienen en cuenta para jacer nuevas inversionas</t>
  </si>
  <si>
    <t>cualquier proyecto de la emrpesa debe proporcionar rendimento tal que por lo menos sea igual a su costo de capital</t>
  </si>
  <si>
    <t>(costo de capital incluye acciones ordinarias)</t>
  </si>
  <si>
    <t>AKA: Modelo de Gordon</t>
  </si>
  <si>
    <t>Con este modelo el costo de las acciones orinarias es :</t>
  </si>
  <si>
    <t>D1 / P0 + g</t>
  </si>
  <si>
    <t>tasa k =</t>
  </si>
  <si>
    <t>P0 = precio actual de mercado de. la accion</t>
  </si>
  <si>
    <t>g = tasa de crecimiento anual  -   que logicamente no puede ser mas grande que la tasa de crecimiento del pbi</t>
  </si>
  <si>
    <t>CAPM</t>
  </si>
  <si>
    <t xml:space="preserve">La idea es que la tasa de rendimiento requerida </t>
  </si>
  <si>
    <t>D1 = dividendo a recibir en el proximo periodo</t>
  </si>
  <si>
    <t>Ej, una empresa tiene acciones que cotizan a 100usd, el proximo dividendo es de 3usdm la g es 2,5%</t>
  </si>
  <si>
    <t>entonces se le exigirá = 3/100 + 0.025 = 5,5%</t>
  </si>
  <si>
    <t>va a ser una tasa libre de riesgo mas una prima de riesgo (definida por el riesgo sistematico)</t>
  </si>
  <si>
    <t xml:space="preserve">El riesgo sistemico indica como responde el rendimiento de la accion a variaciones en el rendimienro del mercado </t>
  </si>
  <si>
    <t>ese riesgo sistemico se mide con el coeficiente de volatilidad ß</t>
  </si>
  <si>
    <t>FREE CASH FLOW</t>
  </si>
  <si>
    <t xml:space="preserve">Osea, </t>
  </si>
  <si>
    <t>Payout ratio = 1</t>
  </si>
  <si>
    <t>Coef. Retencion = 0</t>
  </si>
  <si>
    <t>La parte del valor que tenes si no reinvertis</t>
  </si>
  <si>
    <t>te llvas todo lo que genera la empresa</t>
  </si>
  <si>
    <t>El valor de la empresa creciendo - el valor de la emrpesa sin crecer = cuánto crece (VAOC)</t>
  </si>
  <si>
    <t>Ej</t>
  </si>
  <si>
    <t>ROE =</t>
  </si>
  <si>
    <t>BPA =</t>
  </si>
  <si>
    <t>coef =</t>
  </si>
  <si>
    <t>1-payout</t>
  </si>
  <si>
    <t>RN / acciones</t>
  </si>
  <si>
    <t>RN / PNt-1</t>
  </si>
  <si>
    <t>1000 / 50</t>
  </si>
  <si>
    <t>1000 / 5882,3</t>
  </si>
  <si>
    <t>1 - 0,25</t>
  </si>
  <si>
    <t>BPA * coef =</t>
  </si>
  <si>
    <t xml:space="preserve">$ que la empresa renivierte </t>
  </si>
  <si>
    <t>BPA * payout =</t>
  </si>
  <si>
    <t>Entonces,</t>
  </si>
  <si>
    <t>BPA*coef*ROE =</t>
  </si>
  <si>
    <t>CON DATOS CONOCIDOS :</t>
  </si>
  <si>
    <t>por los 15$ que reinvirtió; obtiene 2,55 (por accion)</t>
  </si>
  <si>
    <t>DPA =</t>
  </si>
  <si>
    <t>$ que la empresa reparte en acciones : Dividendos</t>
  </si>
  <si>
    <t xml:space="preserve">BPA * coef + ( BPA*coef*ROE ) / k </t>
  </si>
  <si>
    <t xml:space="preserve">Si asumimos que no crece, entonces podriamos decir que a perpetuidad genera </t>
  </si>
  <si>
    <t xml:space="preserve">los mismos 2,55 por invertir 15 ( BPA * coef ) </t>
  </si>
  <si>
    <t>En ese caso, el VAN de la actividad de la empresa (VANR)</t>
  </si>
  <si>
    <t>Osea, lo que puso (15) + el valor actual de lo que consiguió de retorno por poner eso (2,55) a perpetuidad</t>
  </si>
  <si>
    <t>15               +         2,55              / k</t>
  </si>
  <si>
    <t xml:space="preserve">VANR 2 = </t>
  </si>
  <si>
    <t>Lo que hacmos ahora es el mismo calculo en el periodo 2 pero digamos que en efecto hubo crecimiento</t>
  </si>
  <si>
    <t>Ahora el patrimonio va a ser mayor: 5882,3 + 1000</t>
  </si>
  <si>
    <t>RN =</t>
  </si>
  <si>
    <t>$ que generó la empresa</t>
  </si>
  <si>
    <t>RN2 =</t>
  </si>
  <si>
    <t>$ que generó la empresa en t=2</t>
  </si>
  <si>
    <t>ROE2 =</t>
  </si>
  <si>
    <t>RN2 / PN1</t>
  </si>
  <si>
    <t>1500 / 6882,3</t>
  </si>
  <si>
    <t>1500 / 50</t>
  </si>
  <si>
    <t>BPA2*coef*ROE2 =</t>
  </si>
  <si>
    <t>BPA2 =</t>
  </si>
  <si>
    <t>BPA2 * coef =</t>
  </si>
  <si>
    <t>BPA2 * payout =</t>
  </si>
  <si>
    <t>DPA2 =</t>
  </si>
  <si>
    <t>por los 22,5$ que reinvirtió; obtiene 4,9 (por accion)</t>
  </si>
  <si>
    <t xml:space="preserve">BPA2 * coef + ( BPA2*coef*ROE )/ k </t>
  </si>
  <si>
    <t xml:space="preserve">BPA1 * coef * (1+g) + ( BPA1*coef*ROE )(1+g) / k </t>
  </si>
  <si>
    <t>22,5                           +            4,9      *                /k</t>
  </si>
  <si>
    <t>15                    (1+g) +            2,55     *    (1+g)   /k</t>
  </si>
  <si>
    <t>(1+g)  [ 15 + 2,55/k ]</t>
  </si>
  <si>
    <t xml:space="preserve">VANR 2 / [ 15 + 2,55/k ]= </t>
  </si>
  <si>
    <t>1+g</t>
  </si>
  <si>
    <t>g</t>
  </si>
  <si>
    <t xml:space="preserve">VANR 2 / [ 15 + 2,55/k ]  - 1= </t>
  </si>
  <si>
    <t xml:space="preserve">VANR 2 / [ BPA1*coef + BPA1*coef*ROE/k ]  - 1= </t>
  </si>
  <si>
    <t>VANR2 / VANR1 - 1 =</t>
  </si>
  <si>
    <t>(1+g)  [ VANR 1 ]</t>
  </si>
  <si>
    <t>Entonces</t>
  </si>
  <si>
    <t>Lo que implica esto es que</t>
  </si>
  <si>
    <t>todos los VANR van a ir creciendo a la tasa g</t>
  </si>
  <si>
    <t>en perpetuidad</t>
  </si>
  <si>
    <t>VAOC = VANR1/(k-g)</t>
  </si>
  <si>
    <t>Ejemplo. Modelo de Descuento de Dividendos en dos etapas</t>
  </si>
  <si>
    <t>ABS es una compañía Innovadora del mercado de frenos de aviones. En los últimos años ha realizado fuertes inversiones.</t>
  </si>
  <si>
    <t xml:space="preserve">Se esperara que estas inversiones tengan un fuerte impacto en la compañía por 5 años momento a partir del cual, dada la competencia intensa </t>
  </si>
  <si>
    <t>del sector, el creciemiento de la compañía encuentre un techo</t>
  </si>
  <si>
    <t>Etapa Inicial</t>
  </si>
  <si>
    <t>Ultimos Div. Pagados:</t>
  </si>
  <si>
    <t xml:space="preserve">VP de los dividendos en la etapa extraordinaria </t>
  </si>
  <si>
    <t>Ultimo Resultado Neto por acc:</t>
  </si>
  <si>
    <t>+</t>
  </si>
  <si>
    <t>Retornos / Patrimonio:</t>
  </si>
  <si>
    <t xml:space="preserve"> VP de los dividendos en la Etapa Estable</t>
  </si>
  <si>
    <t>Dividend payout ratio:</t>
  </si>
  <si>
    <t>Beta de ABS:</t>
  </si>
  <si>
    <t>Valor Presente</t>
  </si>
  <si>
    <t>Rendimiento de Mercado:</t>
  </si>
  <si>
    <t>Tasa libre de riesgo:</t>
  </si>
  <si>
    <t>donde,</t>
  </si>
  <si>
    <t>Etapa Estable</t>
  </si>
  <si>
    <t>Tasa de crecimiento de Div</t>
  </si>
  <si>
    <t>Ecuación:</t>
  </si>
  <si>
    <t>Beta de ABS</t>
  </si>
  <si>
    <t>dividendos por acción en t</t>
  </si>
  <si>
    <t>Dividend payout ratio</t>
  </si>
  <si>
    <t>tasa de crecimiento en t</t>
  </si>
  <si>
    <t>tasa de descuento</t>
  </si>
  <si>
    <t xml:space="preserve"> Suma de Valores presentes</t>
  </si>
  <si>
    <t>Valor Actual de las Oportunidades de Crecimiento (VAOC)</t>
  </si>
  <si>
    <t>Ecuación</t>
  </si>
  <si>
    <t>Ejemplo</t>
  </si>
  <si>
    <t>Supongamos la empresa CF SA y la siguiente Iformación de la misma:</t>
  </si>
  <si>
    <t>ROE=</t>
  </si>
  <si>
    <t>g=</t>
  </si>
  <si>
    <t>Ratio de Ret.=</t>
  </si>
  <si>
    <t>k=</t>
  </si>
  <si>
    <t>BPA1=</t>
  </si>
  <si>
    <t>Si aplicamos Modelo de Gordon</t>
  </si>
  <si>
    <t xml:space="preserve">Si CF SA sigue una política de no crecimiento, </t>
  </si>
  <si>
    <t xml:space="preserve">entonces </t>
  </si>
  <si>
    <t>VAOC=</t>
  </si>
  <si>
    <t>Veamos cómo podemos explicar esta cifra,</t>
  </si>
  <si>
    <t>Si CF SA reinvierte solo en t=1,</t>
  </si>
  <si>
    <t>t</t>
  </si>
  <si>
    <t>Cupones de crecimiento</t>
  </si>
  <si>
    <t>Inversión=</t>
  </si>
  <si>
    <t>Flujo a perpetuidad=</t>
  </si>
  <si>
    <t>VAN1=</t>
  </si>
  <si>
    <t>Crecen a la tasa 10%. ¿Cómo valuo esto?</t>
  </si>
  <si>
    <t>Verificación=</t>
  </si>
  <si>
    <t>dividendo</t>
  </si>
  <si>
    <t>a perpetuidad</t>
  </si>
  <si>
    <t>DIVIDENDO</t>
  </si>
  <si>
    <t>BPA1 * (1-RETENCION)  /   ( k - g )</t>
  </si>
  <si>
    <t>ROE * RET</t>
  </si>
  <si>
    <t>coef*BPA</t>
  </si>
  <si>
    <t>Inversión (perpetua) =</t>
  </si>
  <si>
    <t>Si CF SA reinvierte solo en t=2,</t>
  </si>
  <si>
    <t>coef*BPA*ROE</t>
  </si>
  <si>
    <t>-coef*BPA + (coef*BPA*ROE)/K</t>
  </si>
  <si>
    <t xml:space="preserve">Ejemplo. Modelo de Descuento de Dividendos con Cash flows proyectados </t>
  </si>
  <si>
    <t xml:space="preserve">Se esperara que estas inversiones tengan un fuerte impacto en la compañía por 3 años momento a partir del cual, dada la competencia intensa </t>
  </si>
  <si>
    <t>Tasa Requerida</t>
  </si>
  <si>
    <t>VP de los dividendos en la etapa extraordinaria=</t>
  </si>
  <si>
    <t>k</t>
  </si>
  <si>
    <t>ETAPA 1</t>
  </si>
  <si>
    <t>DPA0 (1+g1) / (k-g1)</t>
  </si>
  <si>
    <t>-</t>
  </si>
  <si>
    <t>DPA0 (1+g1) (1+g1)^n/ (k-g1)(1+k)^n</t>
  </si>
  <si>
    <t>ABS2 es una compañía Innovadora del mercado de frenos de aviones. En los últimos años ha realizado fuertes inversiones.</t>
  </si>
  <si>
    <t>EJEMPLO ANTERIOR:</t>
  </si>
  <si>
    <t>EJEMPLO NUEVO:</t>
  </si>
  <si>
    <t>Ultimo Patrimonio Neto por accion (CPA):</t>
  </si>
  <si>
    <t>No lo vamos a utilizar</t>
  </si>
  <si>
    <t>CPA</t>
  </si>
  <si>
    <t>DIV</t>
  </si>
  <si>
    <t>ROE</t>
  </si>
  <si>
    <t>% DE DIST.</t>
  </si>
  <si>
    <t>TASA DE REINVERSION</t>
  </si>
  <si>
    <t>TASA DE CRECIMIENTO G</t>
  </si>
  <si>
    <t>Tasa de crecimiento de CPA</t>
  </si>
  <si>
    <t>Tasa de crecimiento de BPA</t>
  </si>
  <si>
    <t>Tasa de crecimiento de DIV</t>
  </si>
  <si>
    <t>Hecho mal</t>
  </si>
  <si>
    <t>1- La tasa de crecimiento de CPA es en todo momento el g correspondiente.</t>
  </si>
  <si>
    <t xml:space="preserve">2- La tasa de crecimiento de BPA es g1 hasta el periodo 5 y g6 desde 7 en adelante. </t>
  </si>
  <si>
    <t>Para determinar BPA6, se debe respetar BPA6=ROExCPA5.</t>
  </si>
  <si>
    <t>3- La tasa de crecimiento de DIV es g1 hasta el periodo 5 y g6 desde 7 en adelante</t>
  </si>
  <si>
    <t>Para determinar DIV6, se debe respetar DIV6=bxBPA6.</t>
  </si>
  <si>
    <t>Explicacion:</t>
  </si>
  <si>
    <t>(CPA4 / CPA3)=(BPA5/BPA4)</t>
  </si>
  <si>
    <t xml:space="preserve">PERO, </t>
  </si>
  <si>
    <t>(CPA5 / CPA4) es distinto de (BPA6/BPA5) y tambien de (CPA6 / CPA5)</t>
  </si>
  <si>
    <t>CPA3*0,15=BPA4</t>
  </si>
  <si>
    <t>CPA4*0,15=BPA5</t>
  </si>
  <si>
    <t>CPA5*0,13=BPA6</t>
  </si>
  <si>
    <t>Aca la tasa de crecimiento es =</t>
  </si>
  <si>
    <t>Aca la tasa de crecimiento es distinta</t>
  </si>
  <si>
    <t>Que pasa si uso g6 para buscar el BPA 6?</t>
  </si>
  <si>
    <t>(6,39/44,72)=</t>
  </si>
  <si>
    <t>Hasta 5 CPA, BPA y DIV crecen al 9%</t>
  </si>
  <si>
    <t>Pero si usamos g6 para buscar el BPA 6, encontramos una contradiccion. CPA 5 * (ROE nuevo) es distinto de BPA encontrado. De modo que el BPA 6 encontrado esta mal.</t>
  </si>
  <si>
    <t>MARKET prim</t>
  </si>
  <si>
    <t>risk free</t>
  </si>
  <si>
    <t>beta</t>
  </si>
  <si>
    <t>prima</t>
  </si>
  <si>
    <t>dividendos</t>
  </si>
  <si>
    <t>tasa req</t>
  </si>
  <si>
    <t>val estimado</t>
  </si>
  <si>
    <t>precio esp</t>
  </si>
  <si>
    <t>P0 = D1/(1+k).     +.      P1/(1+k)</t>
  </si>
  <si>
    <t>P0 (1+k) - P1= D</t>
  </si>
  <si>
    <t>k = D/P0 - (P1-P0)/P0</t>
  </si>
  <si>
    <t>P0</t>
  </si>
  <si>
    <t>D0</t>
  </si>
  <si>
    <t>anual</t>
  </si>
  <si>
    <t>market prima</t>
  </si>
  <si>
    <t>D1</t>
  </si>
  <si>
    <t>D0 * (1+g)</t>
  </si>
  <si>
    <t>valor</t>
  </si>
  <si>
    <t>АЕР</t>
  </si>
  <si>
    <t>ED</t>
  </si>
  <si>
    <t>EXC</t>
  </si>
  <si>
    <t>SO</t>
  </si>
  <si>
    <t>D</t>
  </si>
  <si>
    <t>market p</t>
  </si>
  <si>
    <t>BETA</t>
  </si>
  <si>
    <t>G</t>
  </si>
  <si>
    <t>GORDON</t>
  </si>
  <si>
    <t>GORDON vs CAPM</t>
  </si>
  <si>
    <t>D-8</t>
  </si>
  <si>
    <t>D0 = D-8 (1 + g)^8</t>
  </si>
  <si>
    <t>D0/D-8 = (1 + g)^8</t>
  </si>
  <si>
    <t>(D0/D-8)^1/8  - 1=  g</t>
  </si>
  <si>
    <t>7.2</t>
  </si>
  <si>
    <t>7.1</t>
  </si>
  <si>
    <t>7.3</t>
  </si>
  <si>
    <t>Precio en t3</t>
  </si>
  <si>
    <t>precio en t0</t>
  </si>
  <si>
    <t>Precio en t5</t>
  </si>
  <si>
    <t>D1 / (k-g)</t>
  </si>
  <si>
    <t>P5 /(1+k)^5</t>
  </si>
  <si>
    <t>t2</t>
  </si>
  <si>
    <t>t3</t>
  </si>
  <si>
    <t>t4</t>
  </si>
  <si>
    <t>t5</t>
  </si>
  <si>
    <t>t6</t>
  </si>
  <si>
    <t>etc</t>
  </si>
  <si>
    <t>VALOR EN t=0 del perdiodo 1</t>
  </si>
  <si>
    <t>Vt=3</t>
  </si>
  <si>
    <t>Vt=0</t>
  </si>
  <si>
    <t>Vt=2</t>
  </si>
  <si>
    <t>Vt=5</t>
  </si>
  <si>
    <t>t=0</t>
  </si>
  <si>
    <t xml:space="preserve">V0 </t>
  </si>
  <si>
    <t>FCF</t>
  </si>
  <si>
    <t>RELATIVA</t>
  </si>
  <si>
    <t>EJEMPLO de Home Depot (NYSE: HD)</t>
  </si>
  <si>
    <r>
      <t>BPA</t>
    </r>
    <r>
      <rPr>
        <vertAlign val="subscript"/>
        <sz val="11"/>
        <color theme="1"/>
        <rFont val="Calibri"/>
        <family val="2"/>
        <scheme val="minor"/>
      </rPr>
      <t>0</t>
    </r>
  </si>
  <si>
    <t>Inputs para el período de alto crecimiento</t>
  </si>
  <si>
    <t>Duración del período de alto crecimiento</t>
  </si>
  <si>
    <t>años</t>
  </si>
  <si>
    <t>Tasa de crecimiento Esperado</t>
  </si>
  <si>
    <t>Beta en alto crecimiento</t>
  </si>
  <si>
    <t>Tasa libre de riesgo</t>
  </si>
  <si>
    <t>Prima de Mercado</t>
  </si>
  <si>
    <t>Costo del capital</t>
  </si>
  <si>
    <t>Tasa de pago de dividendos (payout ratio)</t>
  </si>
  <si>
    <t>Inputs para el período de Transición</t>
  </si>
  <si>
    <t>Duración del período de transición</t>
  </si>
  <si>
    <t xml:space="preserve">declina  desde </t>
  </si>
  <si>
    <t>en el año 5 a</t>
  </si>
  <si>
    <t>linealmente</t>
  </si>
  <si>
    <t xml:space="preserve">Payout ratio </t>
  </si>
  <si>
    <t xml:space="preserve">sube desde </t>
  </si>
  <si>
    <t xml:space="preserve">baja desde </t>
  </si>
  <si>
    <t>Inputs para el período de crecimiento estable</t>
  </si>
  <si>
    <t>Tasa espearada de crecimiento</t>
  </si>
  <si>
    <t>Beta</t>
  </si>
  <si>
    <t>Solución:</t>
  </si>
  <si>
    <t>Año</t>
  </si>
  <si>
    <t>PAYOUT</t>
  </si>
  <si>
    <t>Cost of Equity</t>
  </si>
  <si>
    <t>PV</t>
  </si>
  <si>
    <t>Valor terminal</t>
  </si>
  <si>
    <t>Valor de Home Depot</t>
  </si>
  <si>
    <t>K</t>
  </si>
  <si>
    <t>RETENCION</t>
  </si>
  <si>
    <t>VP del eriodo de crecimiento estable : BPA * (1+g) * PAYOUT  /  (k - g)</t>
  </si>
  <si>
    <t>VP del eriodo de crecimiento estable : 13,974 * (1+0,06) * 0,6  /  (13% - 0,06)</t>
  </si>
  <si>
    <t>ESTO ES EL VALOR EN T = 10</t>
  </si>
  <si>
    <t>ACTUALIZADO EN T = 0</t>
  </si>
  <si>
    <t>VP FLIJOS PIMER PERIOD + VP FLUJOS PERIODO ESTABÑLE</t>
  </si>
  <si>
    <t>DDM -  EN TRES ETAPAS</t>
  </si>
  <si>
    <t>MODELO FREE CASH FLOWS</t>
  </si>
  <si>
    <t>FREE CHASFLOWS</t>
  </si>
  <si>
    <t>Varias formas de valuar una emrpesa</t>
  </si>
  <si>
    <t>como lo que queres hacer es valuar el patrimonio neto</t>
  </si>
  <si>
    <r>
      <t xml:space="preserve">Podes agarrar los free cashflows </t>
    </r>
    <r>
      <rPr>
        <b/>
        <sz val="12"/>
        <color theme="1"/>
        <rFont val="Calibri"/>
        <family val="2"/>
        <scheme val="minor"/>
      </rPr>
      <t xml:space="preserve">de equity </t>
    </r>
    <r>
      <rPr>
        <sz val="12"/>
        <color theme="1"/>
        <rFont val="Calibri"/>
        <family val="2"/>
        <scheme val="minor"/>
      </rPr>
      <t>y descontarlos a la tasa de descuento requierida</t>
    </r>
  </si>
  <si>
    <t>TABLE 14.1 PE Ratios for Stable Firms</t>
  </si>
  <si>
    <t>Discount</t>
  </si>
  <si>
    <t>0.00%</t>
  </si>
  <si>
    <t>1.00%</t>
  </si>
  <si>
    <t>2.00%</t>
  </si>
  <si>
    <t>3.00%</t>
  </si>
  <si>
    <t>4.00%</t>
  </si>
  <si>
    <t>5.00%</t>
  </si>
  <si>
    <t>6.00%</t>
  </si>
  <si>
    <t>7.00%</t>
  </si>
  <si>
    <t>8.00%</t>
  </si>
  <si>
    <t>27.00</t>
  </si>
  <si>
    <t>21.60</t>
  </si>
  <si>
    <t>18.00</t>
  </si>
  <si>
    <t>15.43</t>
  </si>
  <si>
    <t>13.50</t>
  </si>
  <si>
    <t>12.00</t>
  </si>
  <si>
    <t>10.80</t>
  </si>
  <si>
    <t>9.82</t>
  </si>
  <si>
    <t>9.00</t>
  </si>
  <si>
    <t>CRECIMIENTO ESPERADO</t>
  </si>
  <si>
    <t>DPA1994</t>
  </si>
  <si>
    <t>BPA1994</t>
  </si>
  <si>
    <t>prima de mercado</t>
  </si>
  <si>
    <t>DESCUENTO</t>
  </si>
  <si>
    <t>PAYOUT RATIO</t>
  </si>
  <si>
    <t>PE RATIO</t>
  </si>
  <si>
    <t>PRECIO</t>
  </si>
  <si>
    <t>check</t>
  </si>
  <si>
    <t>El PE ratio verdadero al que se vendia en ese momento era de 13.5</t>
  </si>
  <si>
    <t xml:space="preserve">El resultado mas bajo que nos dio ese analisis podria ser debido a </t>
  </si>
  <si>
    <t>que no pagaba como dividendos lo que en realidad podría pagar</t>
  </si>
  <si>
    <t>Si ese fuera el asinto, el payout ratio se podria reemplazar con FCFE (free cashflow to equity)</t>
  </si>
  <si>
    <t>en proporcion a ganancias</t>
  </si>
  <si>
    <t>EJEMPLO DEUTSCHE BANK</t>
  </si>
  <si>
    <t>EJEMPLO SIEMENS</t>
  </si>
  <si>
    <t>Siemens tenía estos datos en 1994</t>
  </si>
  <si>
    <t>FCFE PAYOUT</t>
  </si>
  <si>
    <t>FCFE Por Accion</t>
  </si>
  <si>
    <t>DIVIDEND PAYOUT</t>
  </si>
  <si>
    <t>PE RATIO FUNDAMENTALS</t>
  </si>
  <si>
    <t>En el momentio se vendia a un price earnings de 16,68</t>
  </si>
  <si>
    <t>Con este ejemplo se ve que los dividendos bajos no son culpables de la valuacion baja</t>
  </si>
  <si>
    <t>PE DE UNA EMPRESA CON CRECIMIENTO ALTO</t>
  </si>
  <si>
    <t>PE EMPRESA ESTABLE</t>
  </si>
  <si>
    <t>El valor actual de una empresa usando el modelo de Gordon esta dado por</t>
  </si>
  <si>
    <t>Dado que</t>
  </si>
  <si>
    <t>Es lo mismo decir</t>
  </si>
  <si>
    <t>Podríamos reordenar para obtener el price / earnings</t>
  </si>
  <si>
    <t>El price / earnings se puede expresar en terminos de ganancias del proximo periodo, entonces</t>
  </si>
  <si>
    <t>es una duncion decreciente del riesgo de la firma</t>
  </si>
  <si>
    <t>El ratio PE  es una función crediente del payout ratio y la tasa de crecimiento</t>
  </si>
  <si>
    <r>
      <t xml:space="preserve">Y a eso </t>
    </r>
    <r>
      <rPr>
        <i/>
        <sz val="12"/>
        <color theme="1"/>
        <rFont val="Calibri"/>
        <family val="2"/>
        <scheme val="minor"/>
      </rPr>
      <t>despues</t>
    </r>
    <r>
      <rPr>
        <sz val="12"/>
        <color theme="1"/>
        <rFont val="Calibri"/>
        <family val="2"/>
        <scheme val="minor"/>
      </rPr>
      <t xml:space="preserve"> restarle las deudas</t>
    </r>
  </si>
  <si>
    <r>
      <t xml:space="preserve">Los free cashflows completos de </t>
    </r>
    <r>
      <rPr>
        <b/>
        <sz val="12"/>
        <color theme="1"/>
        <rFont val="Calibri"/>
        <family val="2"/>
        <scheme val="minor"/>
      </rPr>
      <t>assets</t>
    </r>
    <r>
      <rPr>
        <sz val="12"/>
        <color theme="1"/>
        <rFont val="Calibri"/>
        <family val="2"/>
        <scheme val="minor"/>
      </rPr>
      <t xml:space="preserve"> total no solo equity, patrimonio, descontados al WACC</t>
    </r>
  </si>
  <si>
    <t>NI</t>
  </si>
  <si>
    <t>Net Income available to common Schareholders</t>
  </si>
  <si>
    <t>Net Non-cash Charges</t>
  </si>
  <si>
    <t>Int(1-t)</t>
  </si>
  <si>
    <t>After tax interest expense</t>
  </si>
  <si>
    <t>FCinv</t>
  </si>
  <si>
    <t>Investment in fixed capital</t>
  </si>
  <si>
    <t>WCinv</t>
  </si>
  <si>
    <t>investment in working capital</t>
  </si>
  <si>
    <t>Amortizaciones se suman pq en NI lo descontas</t>
  </si>
  <si>
    <t>Escudo fiscal</t>
  </si>
  <si>
    <t>Lo sumo porque es lo que cobran acreedores y va al asset side</t>
  </si>
  <si>
    <t>Ingreso despues de pagar todo (deudas, impuestos etc..)</t>
  </si>
  <si>
    <t>Prestamos - Amortizaciones de deuda</t>
  </si>
  <si>
    <t>CUANTO SE PUEDEN REPARTIR LOS ACCIONISTAS</t>
  </si>
  <si>
    <r>
      <t xml:space="preserve">CUANTO SE PUEDEN REPARTIR ENTRE </t>
    </r>
    <r>
      <rPr>
        <b/>
        <sz val="12"/>
        <color theme="1"/>
        <rFont val="Calibri"/>
        <family val="2"/>
        <scheme val="minor"/>
      </rPr>
      <t>TODOS</t>
    </r>
    <r>
      <rPr>
        <sz val="12"/>
        <color theme="1"/>
        <rFont val="Calibri"/>
        <family val="2"/>
        <scheme val="minor"/>
      </rPr>
      <t xml:space="preserve"> LOS APORTANTES DE CAPITAL</t>
    </r>
  </si>
  <si>
    <t>Sacas el escudo fiscal porque no queda para los accionistas</t>
  </si>
  <si>
    <t>NET BORROWING</t>
  </si>
  <si>
    <t xml:space="preserve">Lo que se pide prestado se puede repartir tranquilamente </t>
  </si>
  <si>
    <t>Al EBIT le sacas intereses e impuestos te da el resultado neto</t>
  </si>
  <si>
    <t>VISTO DE OTRA FORMA:</t>
  </si>
  <si>
    <t>FREE CASHFLOWS</t>
  </si>
  <si>
    <t>EXCLUYE CASH Y SHORT TERM DEBT</t>
  </si>
  <si>
    <t>pq no es operativo</t>
  </si>
  <si>
    <t>Cash (corriente) lo excluís porque no genera nada en el tiempo</t>
  </si>
  <si>
    <t>no tiene que ver con la situacion de la empresa</t>
  </si>
  <si>
    <t>no está invertido, no está rindiendo</t>
  </si>
  <si>
    <t>SHORT-TERM DEBT</t>
  </si>
  <si>
    <t>La deuda que sí se considera para current liabilities y current assets</t>
  </si>
  <si>
    <t>es deuda en la que NO se paga intereses</t>
  </si>
  <si>
    <t>el short term debt pagas intereses casi inemdiatamente para financiarte al corto plazo</t>
  </si>
  <si>
    <t>pero no es operativo</t>
  </si>
  <si>
    <t>short erm debt : deuda que paga intereses</t>
  </si>
  <si>
    <t>Ejemplo.Valuacion de FFCF con acciones preferidas.</t>
  </si>
  <si>
    <t xml:space="preserve">Welch Corporation usa vonos, acciones preferidas y acciones ordinarias para financiarse. El valor de mercado de </t>
  </si>
  <si>
    <t>de cada una y las distintas tasas de rendimiento se encuentran en la siguiente tabla:</t>
  </si>
  <si>
    <t>Valor de Mercado</t>
  </si>
  <si>
    <t>Retorno requerido %</t>
  </si>
  <si>
    <t xml:space="preserve">Bonos </t>
  </si>
  <si>
    <t>Acciones preferidas</t>
  </si>
  <si>
    <t>Acciones ordinarias</t>
  </si>
  <si>
    <t>Otra informacion relevante:</t>
  </si>
  <si>
    <t>NI disponible de los accionistas ordinarios:</t>
  </si>
  <si>
    <t>Gasto de intereses:</t>
  </si>
  <si>
    <t>Dividendos Preferidos:</t>
  </si>
  <si>
    <t>Depreciacion:</t>
  </si>
  <si>
    <t>Inversion en Capital fijo:</t>
  </si>
  <si>
    <t>Inversion en capital de trabajo:</t>
  </si>
  <si>
    <t>Net Borrowing:</t>
  </si>
  <si>
    <t>Crecimiento estable de FCFF:</t>
  </si>
  <si>
    <t>Crecimiento estable de FCFE:</t>
  </si>
  <si>
    <t>1. Calcular WACC</t>
  </si>
  <si>
    <t>WACC=</t>
  </si>
  <si>
    <t>2. Calcular el valor corriente de FCFF</t>
  </si>
  <si>
    <t>Sin acciones preferidas:</t>
  </si>
  <si>
    <t>Con Acciones preferidas:</t>
  </si>
  <si>
    <t>(dado que el NI es el income available to common shareholders)</t>
  </si>
  <si>
    <t>Entonces:</t>
  </si>
  <si>
    <t>Depreciacion</t>
  </si>
  <si>
    <t>Intereses desp. De imp.</t>
  </si>
  <si>
    <t>Div Preferidos</t>
  </si>
  <si>
    <t>Inversiones Capital Fijo</t>
  </si>
  <si>
    <t>Inversiones Capitalde Trabajo</t>
  </si>
  <si>
    <t>3. Basado en la proyeccion de FCFF, cual es el valor total de Welch y de su equity?</t>
  </si>
  <si>
    <t>4. Calcule el FCFE</t>
  </si>
  <si>
    <t>pero, ahora net borrowing incluye emision de acciones preferidas</t>
  </si>
  <si>
    <t>5. Basado en el FCFE, calcule el valor del equity</t>
  </si>
  <si>
    <t>ESTADO DE RESULTADOS</t>
  </si>
  <si>
    <t>amort | deprec</t>
  </si>
  <si>
    <t>current assetsSIN CASH</t>
  </si>
  <si>
    <t xml:space="preserve"> </t>
  </si>
  <si>
    <t>Equity value, also known as market capitalization, represents the value of a company's common stock. It is calculated by multiplying the company's current share price by its total number of outstanding shares.</t>
  </si>
  <si>
    <t>Firm value, also known as Enterprise Value (EV), is a more comprehensive measure of a company's total value. It includes not only the value of equity (common stock), but also other components like preferred stock, minority interest, and the market value of debt, minus cash and cash equivalents.</t>
  </si>
  <si>
    <t>The equation "Equity Value = Firm Value - Market Value of Debt" is essentially a rearrangement of the formula to calculate the enterprise value, which is:</t>
  </si>
  <si>
    <t>Firm Value (EV) = Equity Value + Market Value of Debt - Cash and Cash Equivalents</t>
  </si>
  <si>
    <t>If you rearrange this formula to solve for equity value, you get:</t>
  </si>
  <si>
    <t>Equity Value = Firm Value (EV) - Market Value of Debt + Cash and Cash Equivalents</t>
  </si>
  <si>
    <t>In a simplified scenario where you ignore cash and cash equivalents, it becomes:</t>
  </si>
  <si>
    <t>Equity Value = Firm Value - Market Value of Debt</t>
  </si>
  <si>
    <t>This means that after accounting for all the debt that a company owes, the remainder of the firm's value belongs to the equity holders. This is the principle behind the simplified equation. However, in practice, cash and cash equivalents are also considered because a company could use its cash to pay off some of its debt, increasing the equity value.</t>
  </si>
  <si>
    <t>w deuda</t>
  </si>
  <si>
    <t>w equity</t>
  </si>
  <si>
    <t>r deuda</t>
  </si>
  <si>
    <t>r equtiy</t>
  </si>
  <si>
    <t>FORECASTING FREE CASHFLOWS</t>
  </si>
  <si>
    <t>Carla Espinosa desea pronosticar el fllujo de fondos de PittsCorporation para el 2008.</t>
  </si>
  <si>
    <t>Ventas 2007 :</t>
  </si>
  <si>
    <t>antes:</t>
  </si>
  <si>
    <t>PREDICCION</t>
  </si>
  <si>
    <t>2. NWC = Accounts Receivable + Inventory - Accounts Payable</t>
  </si>
  <si>
    <t>1. NWC = Current Assets (less cash) - Current Liabilities (less debt)</t>
  </si>
  <si>
    <t>There are two ways to find NWC:</t>
  </si>
  <si>
    <t>Step 2: Calculate the net working capital</t>
  </si>
  <si>
    <t>Step 1: Get EBIT and D&amp;A from the income statement</t>
  </si>
  <si>
    <t>Instructions</t>
  </si>
  <si>
    <t>Intrinsic Value</t>
  </si>
  <si>
    <t>Upside</t>
  </si>
  <si>
    <t>Equity Value/Share</t>
  </si>
  <si>
    <t>Market Value</t>
  </si>
  <si>
    <t>Market Value vs Intrinsic Value</t>
  </si>
  <si>
    <t>Enterprise Value</t>
  </si>
  <si>
    <t>Equity Value</t>
  </si>
  <si>
    <t>Less: Cash</t>
  </si>
  <si>
    <t>Less: Debt</t>
  </si>
  <si>
    <t>Internal Rate of Return (IRR)</t>
  </si>
  <si>
    <t>Plus: Debt</t>
  </si>
  <si>
    <t>Plus: Cash</t>
  </si>
  <si>
    <t>Target Price Upside</t>
  </si>
  <si>
    <t>Market Cap</t>
  </si>
  <si>
    <t>Rate of Return</t>
  </si>
  <si>
    <t>Transaction CF</t>
  </si>
  <si>
    <t>(Entry)/Exit</t>
  </si>
  <si>
    <t>Unlevered FCF</t>
  </si>
  <si>
    <t>Less: Changes in NWC</t>
  </si>
  <si>
    <t>Less: Capex</t>
  </si>
  <si>
    <t>Plus: D&amp;A</t>
  </si>
  <si>
    <t>Less: Cash Taxes</t>
  </si>
  <si>
    <t>Average</t>
  </si>
  <si>
    <t>Year Fraction</t>
  </si>
  <si>
    <t>EV/EBITDA</t>
  </si>
  <si>
    <t>Time Periods</t>
  </si>
  <si>
    <t>Perpetural Growth</t>
  </si>
  <si>
    <t>Date</t>
  </si>
  <si>
    <t>Terminal Value</t>
  </si>
  <si>
    <t>Exit</t>
  </si>
  <si>
    <t>Entry</t>
  </si>
  <si>
    <t>Discounted Cash Flow</t>
  </si>
  <si>
    <t>Capex</t>
  </si>
  <si>
    <t>Cash</t>
  </si>
  <si>
    <t>Debt</t>
  </si>
  <si>
    <t>Shares Outstanding</t>
  </si>
  <si>
    <t>Current Price</t>
  </si>
  <si>
    <t>Fiscal Year End</t>
  </si>
  <si>
    <t>Transaction Date</t>
  </si>
  <si>
    <t>EV/EBITDA Mulltiple</t>
  </si>
  <si>
    <t>Perpetural Growth Rate</t>
  </si>
  <si>
    <t>Discount Rate</t>
  </si>
  <si>
    <t>Tax Rate</t>
  </si>
  <si>
    <t>Assumptions</t>
  </si>
  <si>
    <t>DCF Model</t>
  </si>
  <si>
    <t>© Corporate Finance Institute®. All rights reserved.</t>
  </si>
  <si>
    <t>EJEMPLO CON ACCIONES PREFERIDAS</t>
  </si>
  <si>
    <t>weights</t>
  </si>
  <si>
    <t>Inversiones Capital de Trabajo</t>
  </si>
  <si>
    <t>MODELAR EL NET BORROWING</t>
  </si>
  <si>
    <t>Poryectar el FCFE</t>
  </si>
  <si>
    <t>esto deberia mantenerse constante como en FCFF</t>
  </si>
  <si>
    <t>Ademas suponemos un ratio constante de proporcion de financiacion sobre activo total</t>
  </si>
  <si>
    <t>Ejemplo. Free Cash Flow to equity atado a Ventas</t>
  </si>
  <si>
    <t>Carla Espinosa desea pronosticar el flujo de fondos de Pitts Corporation para el 2008.</t>
  </si>
  <si>
    <t xml:space="preserve">Margen Neto es </t>
  </si>
  <si>
    <t>La empresa financia las inversiones en capital de trabajo y en capital fijo con 50% de deuda</t>
  </si>
  <si>
    <t>50 % de FCinv y WCinv se financia con deuda</t>
  </si>
  <si>
    <t>FCFE(este ya proyectado) /([rendimiento de accionista]-g)</t>
  </si>
  <si>
    <t>1. Identificar cuales son los comparables</t>
  </si>
  <si>
    <t xml:space="preserve">2. Estandarizar valores </t>
  </si>
  <si>
    <t xml:space="preserve">ponderadores de mercado de ciertos activos: te dan desvio rentabilidad. pero en vez de matriz de cov y vars, te dan una matriz de correlaciones. </t>
  </si>
  <si>
    <t>Demostrar analiticamente que el portfolio de maximo ratio de sharpe y minima varianza unicamente coinciden si todos los activos rinden lo mismo . si haces el promedio de todas las rentabilidades es esa misma, entonces la unica rentabilidad es 10%</t>
  </si>
  <si>
    <t>EPS : te dan stock options, dividendos, ratio conversion preferidas a ordinarias . calcular eps basic y diluted. calcular weighted average stocks</t>
  </si>
  <si>
    <t>te da coef de correlacion entre un hedge fund de inversion y un portfolio de mercado (25%). despejar para tener un beta de 1.85 ~. despejar de la formula de capm para tener los weights</t>
  </si>
  <si>
    <t>FCFF y FCFE con los datos de g, estructura de  capital para wacc, r para fcfe</t>
  </si>
  <si>
    <t>1. definir el multiplo hay muchos, trailing etc</t>
  </si>
  <si>
    <t>2. describir el multiplo. decidir si los multiplos son o muy altos o muy bajos, viendo como se distribuyen transversalmente y en su historia</t>
  </si>
  <si>
    <t>se fija el multiplo con respecto a otras empresas corss section o historicamente con time series</t>
  </si>
  <si>
    <t>3. analizar el multplo</t>
  </si>
  <si>
    <t>4. aplicar. definir el universo comparable, controlar diferencuas</t>
  </si>
  <si>
    <t>Consistente</t>
  </si>
  <si>
    <t>el denominador   (variable de estandarizacion)</t>
  </si>
  <si>
    <t>el numerador (valor)</t>
  </si>
  <si>
    <t>ambos deben tener los mismos claimholders</t>
  </si>
  <si>
    <t>Uniforme</t>
  </si>
  <si>
    <t>todos tiene que haber sido estimados de la misma manera</t>
  </si>
  <si>
    <t xml:space="preserve">PE </t>
  </si>
  <si>
    <t>Precio de mercado / ganancias por accion</t>
  </si>
  <si>
    <t>Precio de mercado / EPS</t>
  </si>
  <si>
    <t>el problema es estimar EPS</t>
  </si>
  <si>
    <t>Posibles maneras</t>
  </si>
  <si>
    <t>trailing</t>
  </si>
  <si>
    <t>forward</t>
  </si>
  <si>
    <t>basico</t>
  </si>
  <si>
    <t>diluido</t>
  </si>
  <si>
    <t>normalizado</t>
  </si>
  <si>
    <t>con ganancias pasadas</t>
  </si>
  <si>
    <t>con ganancias futuras</t>
  </si>
  <si>
    <t>EPS = Net Income / # ACCIONES</t>
  </si>
  <si>
    <t>Podria usar NI pasado o futuro</t>
  </si>
  <si>
    <t>la cantidad de acciones que tiene hoy</t>
  </si>
  <si>
    <t>Para decidir # de acciones</t>
  </si>
  <si>
    <t>agrega por ejemplo obligaciones negociables convertibles</t>
  </si>
  <si>
    <t>para empresas que el price earnings va cambiando</t>
  </si>
  <si>
    <t>si tomas los años malos el earnings es bajo y el pe es muy alto</t>
  </si>
  <si>
    <t>si tomas los buenos los earnings son altos y el pe es bajo</t>
  </si>
  <si>
    <t>lo que deberia tomarse es tomar todo el ciclo de la compañia (dos o tres años)</t>
  </si>
  <si>
    <t>BASIC EPS</t>
  </si>
  <si>
    <t>restas preferidos porque el NI que me interesa es el que se llevan las acciones oridnarias (osea queres sacar de NI lo que se llevan los preferidos)</t>
  </si>
  <si>
    <t>Ejemplo 1:</t>
  </si>
  <si>
    <t xml:space="preserve">El 31/12/18, Angler products tuvo una ganancia neta de USD 2.500.000. La compañía </t>
  </si>
  <si>
    <t>declaró  pagó dividendos por USD 200.000 de acciones preferidas. Además tiene la siguiente información:</t>
  </si>
  <si>
    <t xml:space="preserve">Acciones en circulación 01/01/18 </t>
  </si>
  <si>
    <t>Acciones emitidas 01/04/18</t>
  </si>
  <si>
    <t>Acciones recompradas 01/10/18</t>
  </si>
  <si>
    <t xml:space="preserve">Acciones en circulación 31/12/18 </t>
  </si>
  <si>
    <t>1. ¿Cuál es el promedio ponderado de acciones en circulación?</t>
  </si>
  <si>
    <t>2.¿Cuál es el EPS básico de Angler Products?</t>
  </si>
  <si>
    <t>WANSO</t>
  </si>
  <si>
    <t>ponderas las acciones por el tiempo que las tuviste</t>
  </si>
  <si>
    <t>1/4 de año</t>
  </si>
  <si>
    <t>6 meses mas</t>
  </si>
  <si>
    <t>porcentaje de año que hubo esa cantidad de acciones</t>
  </si>
  <si>
    <t>otro cuarto</t>
  </si>
  <si>
    <t>Ejemplo 2:</t>
  </si>
  <si>
    <t xml:space="preserve">Bright Warm Utility reportó resultados netos por 1.750.000 para el año terminado 31-12-18. </t>
  </si>
  <si>
    <t xml:space="preserve">La compañía tiene en promedio 500.000 acciones emitidas y 20.000 aciones preferidas. </t>
  </si>
  <si>
    <t>Cada Acción Preferida paga USD10 y cada una es converitble a 5 acciones ordinarias.</t>
  </si>
  <si>
    <t>Calcule el EPS básico y diluido de Bright Warm Utility.</t>
  </si>
  <si>
    <t>Diluted EPS</t>
  </si>
  <si>
    <t>No le restas mas preferidas porque si se convierten no vas a pagar los dividendos preferidos</t>
  </si>
  <si>
    <t>metodo - if converted - todo lo que puede ser convertido se convierte</t>
  </si>
  <si>
    <t>En NI supones que pagas intereses de lo que debesç</t>
  </si>
  <si>
    <t>Entonces lo que supusisste como gasto lo sumas</t>
  </si>
  <si>
    <t>de vuelta porque la deuda se convierte</t>
  </si>
  <si>
    <t>BASIC</t>
  </si>
  <si>
    <t>DILUTED</t>
  </si>
  <si>
    <t># acc</t>
  </si>
  <si>
    <t># acc pref</t>
  </si>
  <si>
    <t>pago pref</t>
  </si>
  <si>
    <t xml:space="preserve">1 pref son </t>
  </si>
  <si>
    <t>Ejemplo 3:</t>
  </si>
  <si>
    <t xml:space="preserve">Oppnox Company reportó resultados netos por 750.000 para el año terminado 31-12-17. </t>
  </si>
  <si>
    <t xml:space="preserve">La compañía tiene en promedio 690.000 acciones emitidas. Adicionalmente la compañía tiene 50.000 </t>
  </si>
  <si>
    <t xml:space="preserve">bonos convertibles (por 10.000 acciones) que pagan 6% TNA. Se asume una tasa impositiva de 30% </t>
  </si>
  <si>
    <t>Calcule el EPS básico y diluido de Oppnox.</t>
  </si>
  <si>
    <t># acc</t>
  </si>
  <si>
    <t>convertibles por</t>
  </si>
  <si>
    <t>ordinarias</t>
  </si>
  <si>
    <t># bonos</t>
  </si>
  <si>
    <t>BASICO</t>
  </si>
  <si>
    <t>DILUIDO</t>
  </si>
  <si>
    <t xml:space="preserve">numerador = </t>
  </si>
  <si>
    <t>metodo - treasury stock</t>
  </si>
  <si>
    <t>con stock options</t>
  </si>
  <si>
    <t>derecho a compar la accion a un cierto precio (ej. gente que trabaja en la empresa)</t>
  </si>
  <si>
    <t>Ejemplo 4:</t>
  </si>
  <si>
    <t xml:space="preserve">Hihotech Company reportó resultados netos por 2.300.000 para el año terminado 31-12-18. </t>
  </si>
  <si>
    <t xml:space="preserve">La compañía tiene en promedio 800.000 acciones emitidas. Adicionalmente la compañía tiene 30.000 </t>
  </si>
  <si>
    <t xml:space="preserve">opciones con un precio de ejercicio de 35. Durante e año el precio de la acción fue en promedio 55. </t>
  </si>
  <si>
    <t>Calcule el EPS básico y diluido de Hihotech Company.</t>
  </si>
  <si>
    <t># acciones</t>
  </si>
  <si>
    <t># opciones</t>
  </si>
  <si>
    <t>p opciones</t>
  </si>
  <si>
    <t>p acciones</t>
  </si>
  <si>
    <t>NUMERADOR</t>
  </si>
  <si>
    <t>DENOMINADOR</t>
  </si>
  <si>
    <t>w. avg. acc</t>
  </si>
  <si>
    <t>30.000 acciones if converted</t>
  </si>
  <si>
    <t>option excersise</t>
  </si>
  <si>
    <t>las 30.000 las compran a 35$ cada una</t>
  </si>
  <si>
    <t xml:space="preserve">en total pagan </t>
  </si>
  <si>
    <t>si vos las pagas al precio de mercado</t>
  </si>
  <si>
    <t>vas a pagar</t>
  </si>
  <si>
    <t>es decir pagaste</t>
  </si>
  <si>
    <t>de más por encima</t>
  </si>
  <si>
    <t>esa plata entonces estas agregando de vuelta a # acciones</t>
  </si>
  <si>
    <t>y representa  :</t>
  </si>
  <si>
    <t>acciones</t>
  </si>
  <si>
    <t>ANALISIS DEL MULTIPLO</t>
  </si>
  <si>
    <t>es bajo porque se equivoca el mercado o porque la empresa crece poco</t>
  </si>
  <si>
    <t>PRICE EARNINGS</t>
  </si>
  <si>
    <t>PRICE TO BOOK VALUE</t>
  </si>
  <si>
    <t>Book Value es el capital de la empresa</t>
  </si>
  <si>
    <t>BV es el stock de capital</t>
  </si>
  <si>
    <t>y hay que ver por que crece</t>
  </si>
  <si>
    <t>(reinversion de utilidades)</t>
  </si>
  <si>
    <t>entonces importa el payout ratio</t>
  </si>
  <si>
    <t>investment in worling vapital/sales</t>
  </si>
  <si>
    <t>NEM</t>
  </si>
  <si>
    <t>beta = -0,2</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</si>
</sst>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6">
    <numFmt numFmtId="43" formatCode="_(* #,##0.00_);_(* \(#,##0.00\);_(* &quot;-&quot;??_);_(@_)"/>
    <numFmt numFmtId="164" formatCode="_-* #,##0.00_-;\-* #,##0.00_-;_-* &quot;-&quot;??_-;_-@_-"/>
    <numFmt numFmtId="165" formatCode="0.000%"/>
    <numFmt numFmtId="171" formatCode="0.000"/>
    <numFmt numFmtId="172" formatCode="0.0000"/>
    <numFmt numFmtId="173" formatCode="_(* #,##0.000_);_(* \(#,##0.000\);_(* &quot;-&quot;??_);_(@_)"/>
    <numFmt numFmtId="174" formatCode="_(* #,##0.000_);_(* \(#,##0.000\);_(* &quot;-&quot;???_);_(@_)"/>
    <numFmt numFmtId="178" formatCode="_-* #,##0.000_-;\-* #,##0.000_-;_-* &quot;-&quot;??_-;_-@_-"/>
    <numFmt numFmtId="179" formatCode="_-* #,##0.000_-;\-* #,##0.000_-;_-* &quot;-&quot;???_-;_-@_-"/>
    <numFmt numFmtId="180" formatCode="_-* #,##0_-;\(#,##0\)_-;_-* &quot;-&quot;_-;_-@_-"/>
    <numFmt numFmtId="181" formatCode="_-* #,##0.00_-;\(#,##0.00\)_-;_-* &quot;-&quot;_-;_-@_-"/>
    <numFmt numFmtId="182" formatCode="_(* #,##0_);_(* \(#,##0\);_(* &quot;-&quot;??_);_(@_)"/>
    <numFmt numFmtId="183" formatCode="_-* #,##0_-;\-* #,##0_-;_-* &quot;-&quot;??_-;_-@_-"/>
    <numFmt numFmtId="184" formatCode="0.0\x"/>
    <numFmt numFmtId="186" formatCode="_(* #,##0.0000_);_(* \(#,##0.0000\);_(* &quot;-&quot;??_);_(@_)"/>
    <numFmt numFmtId="187" formatCode="_(* #,##0.0000_);_(* \(#,##0.0000\);_(* &quot;-&quot;????_);_(@_)"/>
  </numFmts>
  <fonts count="36" x14ac:knownFonts="1">
    <font>
      <sz val="12"/>
      <color theme="1"/>
      <name val="Calibri"/>
      <family val="2"/>
      <scheme val="minor"/>
    </font>
    <font>
      <i/>
      <sz val="10"/>
      <color theme="1"/>
      <name val="Calibri"/>
      <family val="2"/>
      <scheme val="minor"/>
    </font>
    <font>
      <sz val="10"/>
      <color theme="1"/>
      <name val="Calibri"/>
      <family val="2"/>
      <scheme val="minor"/>
    </font>
    <font>
      <sz val="12"/>
      <color rgb="FF000000"/>
      <name val="Calibri"/>
      <family val="2"/>
      <scheme val="minor"/>
    </font>
    <font>
      <i/>
      <sz val="10"/>
      <color rgb="FF000000"/>
      <name val="Calibri"/>
      <family val="2"/>
      <scheme val="minor"/>
    </font>
    <font>
      <sz val="12"/>
      <color theme="1"/>
      <name val="Calibri"/>
      <family val="2"/>
      <scheme val="minor"/>
    </font>
    <font>
      <b/>
      <sz val="12"/>
      <color theme="1"/>
      <name val="Calibri"/>
      <family val="2"/>
      <scheme val="minor"/>
    </font>
    <font>
      <sz val="16"/>
      <color rgb="FF434342"/>
      <name val="Arial"/>
      <family val="2"/>
    </font>
    <font>
      <b/>
      <sz val="14"/>
      <color theme="1"/>
      <name val="Calibri"/>
      <family val="2"/>
      <scheme val="minor"/>
    </font>
    <font>
      <b/>
      <sz val="11"/>
      <color theme="1"/>
      <name val="Calibri"/>
      <family val="2"/>
      <scheme val="minor"/>
    </font>
    <font>
      <sz val="12"/>
      <color rgb="FFFF0000"/>
      <name val="Calibri"/>
      <family val="2"/>
      <scheme val="minor"/>
    </font>
    <font>
      <b/>
      <sz val="20"/>
      <color rgb="FF1E4E79"/>
      <name val="Helvetica"/>
      <family val="2"/>
    </font>
    <font>
      <b/>
      <sz val="14"/>
      <color rgb="FF2E75B5"/>
      <name val="Helvetica"/>
      <family val="2"/>
    </font>
    <font>
      <sz val="12"/>
      <color theme="1"/>
      <name val="Helvetica"/>
      <family val="2"/>
    </font>
    <font>
      <sz val="11"/>
      <color theme="1"/>
      <name val="Calibri"/>
      <family val="2"/>
      <scheme val="minor"/>
    </font>
    <font>
      <i/>
      <sz val="12"/>
      <color theme="1"/>
      <name val="Calibri"/>
      <family val="2"/>
      <scheme val="minor"/>
    </font>
    <font>
      <sz val="12"/>
      <color rgb="FF000000"/>
      <name val="Cambria Math"/>
      <family val="1"/>
    </font>
    <font>
      <sz val="12"/>
      <color theme="1"/>
      <name val="Cambria Math"/>
      <family val="1"/>
    </font>
    <font>
      <vertAlign val="subscript"/>
      <sz val="11"/>
      <color theme="1"/>
      <name val="Calibri"/>
      <family val="2"/>
      <scheme val="minor"/>
    </font>
    <font>
      <sz val="12"/>
      <color theme="1"/>
      <name val="Arial Narrow"/>
      <family val="2"/>
    </font>
    <font>
      <sz val="10"/>
      <color theme="1"/>
      <name val="Open Sans"/>
      <family val="2"/>
    </font>
    <font>
      <u/>
      <sz val="11"/>
      <color theme="10"/>
      <name val="Calibri"/>
      <family val="2"/>
      <scheme val="minor"/>
    </font>
    <font>
      <i/>
      <sz val="12"/>
      <color theme="1"/>
      <name val="Arial Narrow"/>
      <family val="2"/>
    </font>
    <font>
      <b/>
      <sz val="10"/>
      <color theme="1"/>
      <name val="Open Sans"/>
      <family val="2"/>
    </font>
    <font>
      <sz val="10"/>
      <color rgb="FF0000FF"/>
      <name val="Open Sans"/>
      <family val="2"/>
    </font>
    <font>
      <sz val="10"/>
      <name val="Open Sans"/>
      <family val="2"/>
    </font>
    <font>
      <i/>
      <sz val="10"/>
      <color theme="1"/>
      <name val="Open Sans"/>
      <family val="2"/>
    </font>
    <font>
      <i/>
      <sz val="10"/>
      <color rgb="FF0000FF"/>
      <name val="Open Sans"/>
      <family val="2"/>
    </font>
    <font>
      <i/>
      <sz val="10"/>
      <name val="Open Sans"/>
      <family val="2"/>
    </font>
    <font>
      <b/>
      <sz val="10"/>
      <name val="Open Sans"/>
      <family val="2"/>
    </font>
    <font>
      <sz val="12"/>
      <color theme="1"/>
      <name val="Open Sans"/>
      <family val="2"/>
    </font>
    <font>
      <b/>
      <sz val="11"/>
      <color theme="0"/>
      <name val="Open Sans"/>
      <family val="2"/>
    </font>
    <font>
      <b/>
      <sz val="10"/>
      <color theme="0"/>
      <name val="Open Sans"/>
      <family val="2"/>
    </font>
    <font>
      <sz val="8"/>
      <color theme="0"/>
      <name val="Open Sans"/>
      <family val="2"/>
    </font>
    <font>
      <i/>
      <sz val="12"/>
      <color theme="1"/>
      <name val="Cambria Math"/>
      <family val="1"/>
    </font>
    <font>
      <sz val="12"/>
      <color rgb="FFE84C22"/>
      <name val="Cambria Math"/>
      <family val="1"/>
    </font>
  </fonts>
  <fills count="12">
    <fill>
      <patternFill patternType="none"/>
    </fill>
    <fill>
      <patternFill patternType="gray125"/>
    </fill>
    <fill>
      <patternFill patternType="solid">
        <fgColor rgb="FF92D050"/>
        <bgColor indexed="64"/>
      </patternFill>
    </fill>
    <fill>
      <patternFill patternType="solid">
        <fgColor rgb="FF92D050"/>
        <bgColor rgb="FF000000"/>
      </patternFill>
    </fill>
    <fill>
      <patternFill patternType="solid">
        <fgColor theme="0"/>
        <bgColor indexed="64"/>
      </patternFill>
    </fill>
    <fill>
      <patternFill patternType="solid">
        <fgColor rgb="FFFFFF00"/>
        <bgColor indexed="64"/>
      </patternFill>
    </fill>
    <fill>
      <patternFill patternType="solid">
        <fgColor theme="9" tint="0.59999389629810485"/>
        <bgColor indexed="64"/>
      </patternFill>
    </fill>
    <fill>
      <patternFill patternType="solid">
        <fgColor theme="9" tint="0.79998168889431442"/>
        <bgColor indexed="64"/>
      </patternFill>
    </fill>
    <fill>
      <patternFill patternType="solid">
        <fgColor theme="9" tint="0.39997558519241921"/>
        <bgColor indexed="64"/>
      </patternFill>
    </fill>
    <fill>
      <patternFill patternType="solid">
        <fgColor theme="8"/>
        <bgColor indexed="64"/>
      </patternFill>
    </fill>
    <fill>
      <patternFill patternType="solid">
        <fgColor rgb="FF132E57"/>
        <bgColor indexed="64"/>
      </patternFill>
    </fill>
    <fill>
      <patternFill patternType="solid">
        <fgColor rgb="FF00B050"/>
        <bgColor indexed="64"/>
      </patternFill>
    </fill>
  </fills>
  <borders count="24">
    <border>
      <left/>
      <right/>
      <top/>
      <bottom/>
      <diagonal/>
    </border>
    <border>
      <left/>
      <right/>
      <top/>
      <bottom style="thin">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style="thin">
        <color indexed="64"/>
      </right>
      <top/>
      <bottom style="thin">
        <color indexed="64"/>
      </bottom>
      <diagonal/>
    </border>
    <border>
      <left/>
      <right/>
      <top/>
      <bottom style="medium">
        <color indexed="64"/>
      </bottom>
      <diagonal/>
    </border>
    <border>
      <left style="medium">
        <color indexed="64"/>
      </left>
      <right style="medium">
        <color indexed="64"/>
      </right>
      <top style="medium">
        <color indexed="64"/>
      </top>
      <bottom/>
      <diagonal/>
    </border>
    <border>
      <left/>
      <right/>
      <top style="medium">
        <color indexed="64"/>
      </top>
      <bottom style="medium">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rgb="FFA3A3A3"/>
      </left>
      <right style="medium">
        <color rgb="FFA3A3A3"/>
      </right>
      <top style="medium">
        <color rgb="FFA3A3A3"/>
      </top>
      <bottom style="medium">
        <color rgb="FFA3A3A3"/>
      </bottom>
      <diagonal/>
    </border>
    <border>
      <left style="medium">
        <color rgb="FFA3A3A3"/>
      </left>
      <right style="medium">
        <color rgb="FFA3A3A3"/>
      </right>
      <top style="medium">
        <color rgb="FFA3A3A3"/>
      </top>
      <bottom/>
      <diagonal/>
    </border>
    <border>
      <left style="medium">
        <color rgb="FFA3A3A3"/>
      </left>
      <right style="medium">
        <color rgb="FFA3A3A3"/>
      </right>
      <top/>
      <bottom style="medium">
        <color rgb="FFA3A3A3"/>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medium">
        <color indexed="64"/>
      </bottom>
      <diagonal/>
    </border>
  </borders>
  <cellStyleXfs count="7">
    <xf numFmtId="0" fontId="0" fillId="0" borderId="0"/>
    <xf numFmtId="43" fontId="5" fillId="0" borderId="0" applyFont="0" applyFill="0" applyBorder="0" applyAlignment="0" applyProtection="0"/>
    <xf numFmtId="9" fontId="5" fillId="0" borderId="0" applyFont="0" applyFill="0" applyBorder="0" applyAlignment="0" applyProtection="0"/>
    <xf numFmtId="164" fontId="14" fillId="0" borderId="0" applyFont="0" applyFill="0" applyBorder="0" applyAlignment="0" applyProtection="0"/>
    <xf numFmtId="0" fontId="21" fillId="0" borderId="0" applyNumberFormat="0" applyFill="0" applyBorder="0" applyAlignment="0" applyProtection="0"/>
    <xf numFmtId="0" fontId="14" fillId="0" borderId="0"/>
    <xf numFmtId="9" fontId="14" fillId="0" borderId="0" applyFont="0" applyFill="0" applyBorder="0" applyAlignment="0" applyProtection="0"/>
  </cellStyleXfs>
  <cellXfs count="191">
    <xf numFmtId="0" fontId="0" fillId="0" borderId="0" xfId="0"/>
    <xf numFmtId="0" fontId="0" fillId="0" borderId="0" xfId="0" applyAlignment="1">
      <alignment horizontal="center" vertical="center"/>
    </xf>
    <xf numFmtId="14" fontId="0" fillId="2" borderId="0" xfId="0" applyNumberFormat="1" applyFill="1" applyAlignment="1">
      <alignment horizontal="center" vertical="center"/>
    </xf>
    <xf numFmtId="0" fontId="0" fillId="2" borderId="0" xfId="0" applyFill="1" applyAlignment="1">
      <alignment horizontal="center" vertical="center"/>
    </xf>
    <xf numFmtId="0" fontId="1" fillId="2" borderId="0" xfId="0" applyFont="1" applyFill="1" applyAlignment="1">
      <alignment horizontal="left" vertical="center" wrapText="1"/>
    </xf>
    <xf numFmtId="0" fontId="2" fillId="0" borderId="0" xfId="0" applyFont="1" applyAlignment="1">
      <alignment vertical="center" wrapText="1"/>
    </xf>
    <xf numFmtId="0" fontId="3" fillId="3" borderId="0" xfId="0" applyFont="1" applyFill="1" applyAlignment="1">
      <alignment horizontal="center" vertical="center"/>
    </xf>
    <xf numFmtId="0" fontId="4" fillId="3" borderId="0" xfId="0" applyFont="1" applyFill="1" applyAlignment="1">
      <alignment horizontal="left" vertical="center" wrapText="1"/>
    </xf>
    <xf numFmtId="0" fontId="0" fillId="0" borderId="0" xfId="0" applyAlignment="1">
      <alignment vertical="center" wrapText="1"/>
    </xf>
    <xf numFmtId="0" fontId="0" fillId="0" borderId="0" xfId="0" applyAlignment="1">
      <alignment horizontal="left" vertical="center"/>
    </xf>
    <xf numFmtId="0" fontId="7" fillId="4" borderId="0" xfId="0" applyFont="1" applyFill="1"/>
    <xf numFmtId="0" fontId="0" fillId="4" borderId="0" xfId="0" applyFill="1"/>
    <xf numFmtId="0" fontId="8" fillId="4" borderId="1" xfId="0" applyFont="1" applyFill="1" applyBorder="1"/>
    <xf numFmtId="0" fontId="0" fillId="4" borderId="1" xfId="0" applyFill="1" applyBorder="1"/>
    <xf numFmtId="0" fontId="9" fillId="4" borderId="0" xfId="0" applyFont="1" applyFill="1"/>
    <xf numFmtId="3" fontId="0" fillId="4" borderId="0" xfId="0" applyNumberFormat="1" applyFill="1"/>
    <xf numFmtId="43" fontId="0" fillId="4" borderId="0" xfId="1" applyFont="1" applyFill="1"/>
    <xf numFmtId="3" fontId="9" fillId="4" borderId="0" xfId="0" applyNumberFormat="1" applyFont="1" applyFill="1"/>
    <xf numFmtId="164" fontId="0" fillId="4" borderId="0" xfId="0" applyNumberFormat="1" applyFill="1"/>
    <xf numFmtId="0" fontId="9" fillId="4" borderId="2" xfId="0" applyFont="1" applyFill="1" applyBorder="1"/>
    <xf numFmtId="3" fontId="9" fillId="4" borderId="3" xfId="0" applyNumberFormat="1" applyFont="1" applyFill="1" applyBorder="1"/>
    <xf numFmtId="0" fontId="0" fillId="5" borderId="0" xfId="0" applyFill="1"/>
    <xf numFmtId="10" fontId="0" fillId="4" borderId="0" xfId="0" applyNumberFormat="1" applyFill="1"/>
    <xf numFmtId="0" fontId="0" fillId="4" borderId="0" xfId="0" applyFill="1" applyAlignment="1">
      <alignment horizontal="right"/>
    </xf>
    <xf numFmtId="0" fontId="0" fillId="6" borderId="0" xfId="0" applyFill="1"/>
    <xf numFmtId="0" fontId="6" fillId="6" borderId="0" xfId="0" applyFont="1" applyFill="1"/>
    <xf numFmtId="165" fontId="0" fillId="6" borderId="0" xfId="2" applyNumberFormat="1" applyFont="1" applyFill="1"/>
    <xf numFmtId="4" fontId="0" fillId="6" borderId="0" xfId="0" applyNumberFormat="1" applyFill="1"/>
    <xf numFmtId="9" fontId="0" fillId="6" borderId="0" xfId="0" applyNumberFormat="1" applyFill="1"/>
    <xf numFmtId="2" fontId="0" fillId="6" borderId="0" xfId="0" applyNumberFormat="1" applyFill="1"/>
    <xf numFmtId="10" fontId="0" fillId="4" borderId="0" xfId="2" applyNumberFormat="1" applyFont="1" applyFill="1"/>
    <xf numFmtId="9" fontId="0" fillId="4" borderId="0" xfId="0" applyNumberFormat="1" applyFill="1"/>
    <xf numFmtId="10" fontId="0" fillId="6" borderId="0" xfId="2" applyNumberFormat="1" applyFont="1" applyFill="1"/>
    <xf numFmtId="0" fontId="9" fillId="4" borderId="1" xfId="0" applyFont="1" applyFill="1" applyBorder="1"/>
    <xf numFmtId="2" fontId="0" fillId="4" borderId="0" xfId="0" applyNumberFormat="1" applyFill="1"/>
    <xf numFmtId="0" fontId="11" fillId="0" borderId="0" xfId="0" applyFont="1" applyAlignment="1">
      <alignment vertical="center"/>
    </xf>
    <xf numFmtId="0" fontId="12" fillId="0" borderId="0" xfId="0" applyFont="1"/>
    <xf numFmtId="14" fontId="0" fillId="0" borderId="0" xfId="0" applyNumberFormat="1" applyBorder="1"/>
    <xf numFmtId="0" fontId="13" fillId="0" borderId="0" xfId="0" applyFont="1"/>
    <xf numFmtId="0" fontId="0" fillId="0" borderId="0" xfId="0" applyAlignment="1">
      <alignment horizontal="center" vertical="center" wrapText="1"/>
    </xf>
    <xf numFmtId="0" fontId="14" fillId="0" borderId="0" xfId="0" applyFont="1" applyAlignment="1">
      <alignment horizontal="left" vertical="top" wrapText="1"/>
    </xf>
    <xf numFmtId="0" fontId="14" fillId="0" borderId="0" xfId="0" applyFont="1" applyAlignment="1">
      <alignment horizontal="left" vertical="top" wrapText="1"/>
    </xf>
    <xf numFmtId="0" fontId="3" fillId="0" borderId="0" xfId="0" applyFont="1"/>
    <xf numFmtId="0" fontId="0" fillId="0" borderId="0" xfId="0" applyAlignment="1">
      <alignment horizontal="left"/>
    </xf>
    <xf numFmtId="0" fontId="0" fillId="0" borderId="0" xfId="0" applyAlignment="1">
      <alignment horizontal="right"/>
    </xf>
    <xf numFmtId="0" fontId="0" fillId="0" borderId="0" xfId="0" applyAlignment="1">
      <alignment horizontal="left" vertical="top"/>
    </xf>
    <xf numFmtId="0" fontId="0" fillId="7" borderId="4" xfId="0" applyFill="1" applyBorder="1"/>
    <xf numFmtId="0" fontId="0" fillId="7" borderId="5" xfId="0" applyFill="1" applyBorder="1"/>
    <xf numFmtId="0" fontId="0" fillId="7" borderId="6" xfId="0" applyFill="1" applyBorder="1"/>
    <xf numFmtId="0" fontId="0" fillId="7" borderId="7" xfId="0" applyFill="1" applyBorder="1"/>
    <xf numFmtId="0" fontId="0" fillId="7" borderId="0" xfId="0" applyFill="1"/>
    <xf numFmtId="0" fontId="0" fillId="7" borderId="8" xfId="0" applyFill="1" applyBorder="1"/>
    <xf numFmtId="0" fontId="0" fillId="7" borderId="9" xfId="0" applyFill="1" applyBorder="1"/>
    <xf numFmtId="0" fontId="0" fillId="7" borderId="1" xfId="0" applyFill="1" applyBorder="1"/>
    <xf numFmtId="0" fontId="0" fillId="7" borderId="10" xfId="0" applyFill="1" applyBorder="1"/>
    <xf numFmtId="0" fontId="0" fillId="4" borderId="0" xfId="0" applyFill="1" applyAlignment="1">
      <alignment horizontal="center"/>
    </xf>
    <xf numFmtId="171" fontId="0" fillId="4" borderId="0" xfId="0" applyNumberFormat="1" applyFill="1"/>
    <xf numFmtId="0" fontId="0" fillId="5" borderId="0" xfId="0" applyFill="1" applyAlignment="1">
      <alignment horizontal="center" vertical="center"/>
    </xf>
    <xf numFmtId="172" fontId="0" fillId="4" borderId="0" xfId="0" applyNumberFormat="1" applyFill="1"/>
    <xf numFmtId="0" fontId="0" fillId="4" borderId="0" xfId="0" quotePrefix="1" applyFill="1"/>
    <xf numFmtId="0" fontId="5" fillId="6" borderId="0" xfId="0" applyFont="1" applyFill="1"/>
    <xf numFmtId="0" fontId="10" fillId="4" borderId="0" xfId="0" applyFont="1" applyFill="1"/>
    <xf numFmtId="10" fontId="10" fillId="4" borderId="0" xfId="0" applyNumberFormat="1" applyFont="1" applyFill="1"/>
    <xf numFmtId="0" fontId="0" fillId="4" borderId="11" xfId="0" applyFill="1" applyBorder="1"/>
    <xf numFmtId="0" fontId="9" fillId="4" borderId="12" xfId="0" applyFont="1" applyFill="1" applyBorder="1"/>
    <xf numFmtId="0" fontId="9" fillId="4" borderId="13" xfId="0" applyFont="1" applyFill="1" applyBorder="1" applyAlignment="1">
      <alignment horizontal="center" vertical="center" wrapText="1"/>
    </xf>
    <xf numFmtId="0" fontId="9" fillId="4" borderId="3" xfId="0" applyFont="1" applyFill="1" applyBorder="1" applyAlignment="1">
      <alignment horizontal="center" vertical="center" wrapText="1"/>
    </xf>
    <xf numFmtId="0" fontId="9" fillId="4" borderId="2" xfId="0" applyFont="1" applyFill="1" applyBorder="1" applyAlignment="1">
      <alignment horizontal="center" vertical="center" wrapText="1"/>
    </xf>
    <xf numFmtId="0" fontId="9" fillId="4" borderId="14" xfId="0" applyFont="1" applyFill="1" applyBorder="1" applyAlignment="1">
      <alignment horizontal="center" vertical="center" wrapText="1"/>
    </xf>
    <xf numFmtId="0" fontId="9" fillId="4" borderId="15" xfId="0" applyFont="1" applyFill="1" applyBorder="1"/>
    <xf numFmtId="4" fontId="0" fillId="4" borderId="0" xfId="0" applyNumberFormat="1" applyFill="1"/>
    <xf numFmtId="0" fontId="9" fillId="4" borderId="16" xfId="0" applyFont="1" applyFill="1" applyBorder="1"/>
    <xf numFmtId="0" fontId="9" fillId="4" borderId="12" xfId="0" applyFont="1" applyFill="1" applyBorder="1" applyAlignment="1">
      <alignment horizontal="center" vertical="center" wrapText="1"/>
    </xf>
    <xf numFmtId="0" fontId="0" fillId="4" borderId="0" xfId="0" applyFill="1" applyAlignment="1">
      <alignment horizontal="center" vertical="center" wrapText="1"/>
    </xf>
    <xf numFmtId="9" fontId="0" fillId="0" borderId="0" xfId="0" applyNumberFormat="1"/>
    <xf numFmtId="43" fontId="0" fillId="0" borderId="0" xfId="1" applyFont="1"/>
    <xf numFmtId="173" fontId="0" fillId="0" borderId="0" xfId="1" applyNumberFormat="1" applyFont="1"/>
    <xf numFmtId="174" fontId="0" fillId="0" borderId="0" xfId="0" applyNumberFormat="1"/>
    <xf numFmtId="0" fontId="16" fillId="0" borderId="17" xfId="0" applyFont="1" applyBorder="1" applyAlignment="1">
      <alignment vertical="center" wrapText="1"/>
    </xf>
    <xf numFmtId="0" fontId="16" fillId="0" borderId="18" xfId="0" applyFont="1" applyBorder="1" applyAlignment="1">
      <alignment vertical="center" wrapText="1"/>
    </xf>
    <xf numFmtId="0" fontId="16" fillId="0" borderId="19" xfId="0" applyFont="1" applyBorder="1" applyAlignment="1">
      <alignment vertical="center" wrapText="1"/>
    </xf>
    <xf numFmtId="10" fontId="0" fillId="0" borderId="0" xfId="2" applyNumberFormat="1" applyFont="1"/>
    <xf numFmtId="9" fontId="13" fillId="0" borderId="0" xfId="0" applyNumberFormat="1" applyFont="1"/>
    <xf numFmtId="10" fontId="0" fillId="0" borderId="0" xfId="0" applyNumberFormat="1"/>
    <xf numFmtId="165" fontId="0" fillId="0" borderId="0" xfId="0" applyNumberFormat="1"/>
    <xf numFmtId="172" fontId="0" fillId="0" borderId="0" xfId="0" applyNumberFormat="1"/>
    <xf numFmtId="165" fontId="0" fillId="0" borderId="0" xfId="2" applyNumberFormat="1" applyFont="1"/>
    <xf numFmtId="171" fontId="0" fillId="0" borderId="0" xfId="0" applyNumberFormat="1"/>
    <xf numFmtId="2" fontId="0" fillId="0" borderId="0" xfId="0" applyNumberFormat="1"/>
    <xf numFmtId="0" fontId="17" fillId="0" borderId="0" xfId="0" applyFont="1"/>
    <xf numFmtId="0" fontId="0" fillId="8" borderId="0" xfId="0" applyFill="1" applyAlignment="1">
      <alignment horizontal="center" vertical="center"/>
    </xf>
    <xf numFmtId="0" fontId="8" fillId="0" borderId="0" xfId="0" applyFont="1" applyAlignment="1">
      <alignment horizontal="center"/>
    </xf>
    <xf numFmtId="0" fontId="6" fillId="0" borderId="20" xfId="0" applyFont="1" applyBorder="1" applyAlignment="1">
      <alignment horizontal="left"/>
    </xf>
    <xf numFmtId="0" fontId="6" fillId="0" borderId="21" xfId="0" applyFont="1" applyBorder="1" applyAlignment="1">
      <alignment horizontal="left"/>
    </xf>
    <xf numFmtId="0" fontId="6" fillId="0" borderId="22" xfId="0" applyFont="1" applyBorder="1" applyAlignment="1">
      <alignment horizontal="left"/>
    </xf>
    <xf numFmtId="0" fontId="9" fillId="0" borderId="0" xfId="0" applyFont="1"/>
    <xf numFmtId="0" fontId="8" fillId="4" borderId="23" xfId="0" applyFont="1" applyFill="1" applyBorder="1" applyAlignment="1">
      <alignment horizontal="center"/>
    </xf>
    <xf numFmtId="164" fontId="0" fillId="0" borderId="0" xfId="0" applyNumberFormat="1"/>
    <xf numFmtId="178" fontId="0" fillId="0" borderId="0" xfId="1" applyNumberFormat="1" applyFont="1"/>
    <xf numFmtId="0" fontId="0" fillId="0" borderId="20" xfId="0" applyBorder="1"/>
    <xf numFmtId="0" fontId="0" fillId="0" borderId="21" xfId="0" applyBorder="1"/>
    <xf numFmtId="164" fontId="0" fillId="0" borderId="21" xfId="0" applyNumberFormat="1" applyBorder="1"/>
    <xf numFmtId="0" fontId="0" fillId="0" borderId="22" xfId="0" applyBorder="1"/>
    <xf numFmtId="179" fontId="0" fillId="0" borderId="22" xfId="0" applyNumberFormat="1" applyBorder="1"/>
    <xf numFmtId="0" fontId="0" fillId="8" borderId="0" xfId="0" applyFill="1" applyAlignment="1">
      <alignment horizontal="center"/>
    </xf>
    <xf numFmtId="0" fontId="0" fillId="6" borderId="0" xfId="0" applyFill="1" applyAlignment="1">
      <alignment horizontal="center"/>
    </xf>
    <xf numFmtId="10" fontId="0" fillId="6" borderId="0" xfId="0" applyNumberFormat="1" applyFill="1"/>
    <xf numFmtId="0" fontId="11" fillId="6" borderId="0" xfId="0" applyFont="1" applyFill="1" applyAlignment="1">
      <alignment vertical="center"/>
    </xf>
    <xf numFmtId="0" fontId="0" fillId="6" borderId="0" xfId="0" applyFill="1" applyAlignment="1">
      <alignment horizontal="left"/>
    </xf>
    <xf numFmtId="0" fontId="0" fillId="0" borderId="0" xfId="0" applyAlignment="1">
      <alignment vertical="center"/>
    </xf>
    <xf numFmtId="0" fontId="17" fillId="0" borderId="0" xfId="0" applyFont="1" applyAlignment="1">
      <alignment vertical="center"/>
    </xf>
    <xf numFmtId="0" fontId="17" fillId="0" borderId="0" xfId="0" applyFont="1" applyAlignment="1">
      <alignment horizontal="left" vertical="center" indent="6"/>
    </xf>
    <xf numFmtId="10" fontId="9" fillId="4" borderId="1" xfId="0" applyNumberFormat="1" applyFont="1" applyFill="1" applyBorder="1"/>
    <xf numFmtId="0" fontId="0" fillId="6" borderId="1" xfId="0" applyFill="1" applyBorder="1"/>
    <xf numFmtId="0" fontId="0" fillId="8" borderId="0" xfId="0" applyFill="1"/>
    <xf numFmtId="0" fontId="7" fillId="8" borderId="0" xfId="0" applyFont="1" applyFill="1" applyAlignment="1">
      <alignment horizontal="left" vertical="center"/>
    </xf>
    <xf numFmtId="164" fontId="10" fillId="4" borderId="0" xfId="0" applyNumberFormat="1" applyFont="1" applyFill="1"/>
    <xf numFmtId="180" fontId="19" fillId="0" borderId="0" xfId="3" applyNumberFormat="1" applyFont="1"/>
    <xf numFmtId="180" fontId="19" fillId="0" borderId="0" xfId="3" applyNumberFormat="1" applyFont="1" applyAlignment="1">
      <alignment horizontal="center"/>
    </xf>
    <xf numFmtId="180" fontId="20" fillId="0" borderId="0" xfId="3" applyNumberFormat="1" applyFont="1"/>
    <xf numFmtId="180" fontId="20" fillId="0" borderId="0" xfId="3" applyNumberFormat="1" applyFont="1" applyAlignment="1">
      <alignment horizontal="center"/>
    </xf>
    <xf numFmtId="0" fontId="21" fillId="0" borderId="0" xfId="4" applyAlignment="1">
      <alignment horizontal="right"/>
    </xf>
    <xf numFmtId="0" fontId="5" fillId="0" borderId="0" xfId="5" applyFont="1" applyAlignment="1">
      <alignment horizontal="right"/>
    </xf>
    <xf numFmtId="0" fontId="5" fillId="0" borderId="0" xfId="5" applyFont="1"/>
    <xf numFmtId="180" fontId="20" fillId="0" borderId="0" xfId="3" applyNumberFormat="1" applyFont="1" applyAlignment="1">
      <alignment horizontal="left" indent="5"/>
    </xf>
    <xf numFmtId="0" fontId="22" fillId="0" borderId="0" xfId="5" applyFont="1" applyAlignment="1">
      <alignment horizontal="right"/>
    </xf>
    <xf numFmtId="180" fontId="20" fillId="9" borderId="0" xfId="3" applyNumberFormat="1" applyFont="1" applyFill="1"/>
    <xf numFmtId="180" fontId="20" fillId="9" borderId="0" xfId="3" applyNumberFormat="1" applyFont="1" applyFill="1" applyAlignment="1">
      <alignment horizontal="center"/>
    </xf>
    <xf numFmtId="180" fontId="23" fillId="9" borderId="0" xfId="3" applyNumberFormat="1" applyFont="1" applyFill="1"/>
    <xf numFmtId="180" fontId="23" fillId="0" borderId="0" xfId="3" applyNumberFormat="1" applyFont="1"/>
    <xf numFmtId="181" fontId="20" fillId="0" borderId="0" xfId="3" applyNumberFormat="1" applyFont="1"/>
    <xf numFmtId="180" fontId="20" fillId="9" borderId="0" xfId="3" applyNumberFormat="1" applyFont="1" applyFill="1" applyBorder="1"/>
    <xf numFmtId="180" fontId="23" fillId="9" borderId="0" xfId="3" applyNumberFormat="1" applyFont="1" applyFill="1" applyBorder="1"/>
    <xf numFmtId="180" fontId="20" fillId="0" borderId="5" xfId="3" applyNumberFormat="1" applyFont="1" applyBorder="1"/>
    <xf numFmtId="9" fontId="20" fillId="0" borderId="0" xfId="6" applyFont="1"/>
    <xf numFmtId="9" fontId="20" fillId="0" borderId="0" xfId="6" applyFont="1" applyBorder="1"/>
    <xf numFmtId="180" fontId="20" fillId="0" borderId="0" xfId="3" applyNumberFormat="1" applyFont="1" applyBorder="1"/>
    <xf numFmtId="180" fontId="20" fillId="0" borderId="0" xfId="3" applyNumberFormat="1" applyFont="1" applyFill="1"/>
    <xf numFmtId="180" fontId="24" fillId="0" borderId="0" xfId="3" applyNumberFormat="1" applyFont="1"/>
    <xf numFmtId="180" fontId="25" fillId="0" borderId="0" xfId="3" applyNumberFormat="1" applyFont="1"/>
    <xf numFmtId="182" fontId="24" fillId="0" borderId="0" xfId="3" applyNumberFormat="1" applyFont="1"/>
    <xf numFmtId="182" fontId="20" fillId="0" borderId="0" xfId="3" applyNumberFormat="1" applyFont="1"/>
    <xf numFmtId="180" fontId="24" fillId="0" borderId="0" xfId="3" applyNumberFormat="1" applyFont="1" applyBorder="1"/>
    <xf numFmtId="164" fontId="26" fillId="0" borderId="0" xfId="3" applyFont="1" applyBorder="1"/>
    <xf numFmtId="180" fontId="26" fillId="0" borderId="0" xfId="3" applyNumberFormat="1" applyFont="1"/>
    <xf numFmtId="14" fontId="26" fillId="0" borderId="0" xfId="3" applyNumberFormat="1" applyFont="1" applyBorder="1"/>
    <xf numFmtId="1" fontId="26" fillId="0" borderId="0" xfId="3" applyNumberFormat="1" applyFont="1"/>
    <xf numFmtId="1" fontId="27" fillId="0" borderId="0" xfId="3" applyNumberFormat="1" applyFont="1"/>
    <xf numFmtId="180" fontId="26" fillId="0" borderId="0" xfId="3" applyNumberFormat="1" applyFont="1" applyBorder="1"/>
    <xf numFmtId="14" fontId="28" fillId="0" borderId="0" xfId="3" applyNumberFormat="1" applyFont="1" applyBorder="1"/>
    <xf numFmtId="14" fontId="26" fillId="0" borderId="0" xfId="3" applyNumberFormat="1" applyFont="1" applyFill="1" applyBorder="1"/>
    <xf numFmtId="180" fontId="23" fillId="9" borderId="0" xfId="3" applyNumberFormat="1" applyFont="1" applyFill="1" applyBorder="1" applyAlignment="1">
      <alignment horizontal="right"/>
    </xf>
    <xf numFmtId="0" fontId="23" fillId="9" borderId="0" xfId="3" applyNumberFormat="1" applyFont="1" applyFill="1" applyBorder="1"/>
    <xf numFmtId="14" fontId="24" fillId="0" borderId="0" xfId="3" applyNumberFormat="1" applyFont="1"/>
    <xf numFmtId="183" fontId="24" fillId="0" borderId="0" xfId="3" applyNumberFormat="1" applyFont="1" applyAlignment="1">
      <alignment horizontal="right"/>
    </xf>
    <xf numFmtId="164" fontId="24" fillId="0" borderId="0" xfId="3" applyFont="1" applyAlignment="1">
      <alignment horizontal="right"/>
    </xf>
    <xf numFmtId="14" fontId="24" fillId="0" borderId="0" xfId="3" applyNumberFormat="1" applyFont="1" applyFill="1"/>
    <xf numFmtId="184" fontId="24" fillId="0" borderId="0" xfId="3" applyNumberFormat="1" applyFont="1" applyAlignment="1">
      <alignment horizontal="right"/>
    </xf>
    <xf numFmtId="9" fontId="24" fillId="0" borderId="0" xfId="6" applyFont="1" applyAlignment="1">
      <alignment horizontal="right"/>
    </xf>
    <xf numFmtId="9" fontId="24" fillId="0" borderId="0" xfId="6" applyFont="1" applyBorder="1" applyAlignment="1">
      <alignment horizontal="right"/>
    </xf>
    <xf numFmtId="180" fontId="25" fillId="0" borderId="0" xfId="3" applyNumberFormat="1" applyFont="1" applyBorder="1"/>
    <xf numFmtId="180" fontId="24" fillId="9" borderId="0" xfId="3" applyNumberFormat="1" applyFont="1" applyFill="1" applyBorder="1"/>
    <xf numFmtId="180" fontId="29" fillId="9" borderId="0" xfId="3" applyNumberFormat="1" applyFont="1" applyFill="1" applyBorder="1"/>
    <xf numFmtId="180" fontId="30" fillId="10" borderId="0" xfId="3" applyNumberFormat="1" applyFont="1" applyFill="1" applyAlignment="1">
      <alignment horizontal="center"/>
    </xf>
    <xf numFmtId="0" fontId="31" fillId="10" borderId="0" xfId="5" applyFont="1" applyFill="1"/>
    <xf numFmtId="0" fontId="32" fillId="10" borderId="0" xfId="5" applyFont="1" applyFill="1" applyAlignment="1">
      <alignment vertical="center"/>
    </xf>
    <xf numFmtId="180" fontId="30" fillId="10" borderId="0" xfId="3" applyNumberFormat="1" applyFont="1" applyFill="1"/>
    <xf numFmtId="180" fontId="33" fillId="10" borderId="0" xfId="3" applyNumberFormat="1" applyFont="1" applyFill="1"/>
    <xf numFmtId="2" fontId="9" fillId="4" borderId="0" xfId="0" applyNumberFormat="1" applyFont="1" applyFill="1"/>
    <xf numFmtId="10" fontId="0" fillId="4" borderId="0" xfId="6" applyNumberFormat="1" applyFont="1" applyFill="1"/>
    <xf numFmtId="9" fontId="0" fillId="4" borderId="0" xfId="6" applyFont="1" applyFill="1"/>
    <xf numFmtId="165" fontId="0" fillId="6" borderId="0" xfId="6" applyNumberFormat="1" applyFont="1" applyFill="1"/>
    <xf numFmtId="10" fontId="0" fillId="6" borderId="0" xfId="6" applyNumberFormat="1" applyFont="1" applyFill="1"/>
    <xf numFmtId="2" fontId="0" fillId="4" borderId="0" xfId="6" applyNumberFormat="1" applyFont="1" applyFill="1"/>
    <xf numFmtId="0" fontId="11" fillId="11" borderId="0" xfId="0" applyFont="1" applyFill="1" applyAlignment="1">
      <alignment vertical="center"/>
    </xf>
    <xf numFmtId="0" fontId="0" fillId="11" borderId="0" xfId="0" applyFill="1"/>
    <xf numFmtId="0" fontId="34" fillId="0" borderId="0" xfId="0" applyFont="1" applyAlignment="1">
      <alignment vertical="center"/>
    </xf>
    <xf numFmtId="0" fontId="35" fillId="0" borderId="0" xfId="0" applyFont="1" applyAlignment="1">
      <alignment vertical="center"/>
    </xf>
    <xf numFmtId="0" fontId="16" fillId="0" borderId="0" xfId="0" applyFont="1" applyAlignment="1">
      <alignment vertical="center"/>
    </xf>
    <xf numFmtId="0" fontId="8" fillId="0" borderId="0" xfId="0" applyFont="1"/>
    <xf numFmtId="164" fontId="0" fillId="0" borderId="0" xfId="3" applyFont="1" applyBorder="1"/>
    <xf numFmtId="164" fontId="0" fillId="0" borderId="1" xfId="3" applyFont="1" applyBorder="1"/>
    <xf numFmtId="164" fontId="0" fillId="0" borderId="0" xfId="3" applyFont="1"/>
    <xf numFmtId="43" fontId="0" fillId="0" borderId="0" xfId="0" applyNumberFormat="1"/>
    <xf numFmtId="186" fontId="0" fillId="0" borderId="0" xfId="1" applyNumberFormat="1" applyFont="1"/>
    <xf numFmtId="186" fontId="0" fillId="0" borderId="0" xfId="1" applyNumberFormat="1" applyFont="1" applyAlignment="1">
      <alignment horizontal="left" vertical="top"/>
    </xf>
    <xf numFmtId="186" fontId="0" fillId="0" borderId="0" xfId="1" applyNumberFormat="1" applyFont="1" applyAlignment="1"/>
    <xf numFmtId="186" fontId="14" fillId="0" borderId="0" xfId="1" applyNumberFormat="1" applyFont="1" applyAlignment="1">
      <alignment horizontal="left" vertical="top"/>
    </xf>
    <xf numFmtId="186" fontId="9" fillId="0" borderId="0" xfId="1" applyNumberFormat="1" applyFont="1" applyAlignment="1"/>
    <xf numFmtId="186" fontId="6" fillId="0" borderId="0" xfId="1" applyNumberFormat="1" applyFont="1"/>
    <xf numFmtId="187" fontId="0" fillId="0" borderId="0" xfId="0" applyNumberFormat="1"/>
  </cellXfs>
  <cellStyles count="7">
    <cellStyle name="Comma" xfId="1" builtinId="3"/>
    <cellStyle name="Comma 2" xfId="3" xr:uid="{62FF25C2-8A86-6047-9372-5B3DA24743A6}"/>
    <cellStyle name="Hyperlink 2" xfId="4" xr:uid="{26DA5B7D-C7B6-0748-A09A-9AB382A228AF}"/>
    <cellStyle name="Normal" xfId="0" builtinId="0"/>
    <cellStyle name="Normal 2" xfId="5" xr:uid="{444615B2-B25A-D347-B506-CD3C98F0B679}"/>
    <cellStyle name="Percent" xfId="2" builtinId="5"/>
    <cellStyle name="Percent 2" xfId="6" xr:uid="{FF50783E-528B-444E-9E97-2E9A903AD272}"/>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microsoft.com/office/2017/10/relationships/person" Target="persons/perso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rot="0" spcFirstLastPara="1" vertOverflow="ellipsis" vert="horz" wrap="square" anchor="ctr" anchorCtr="1"/>
          <a:lstStyle/>
          <a:p>
            <a:pPr>
              <a:defRPr sz="1200" b="0" i="0" u="none" strike="noStrike" kern="1200" spc="0" baseline="0">
                <a:solidFill>
                  <a:schemeClr val="tx1">
                    <a:lumMod val="65000"/>
                    <a:lumOff val="35000"/>
                  </a:schemeClr>
                </a:solidFill>
                <a:latin typeface="Open Sans" panose="020B0606030504020204" pitchFamily="34" charset="0"/>
                <a:ea typeface="Open Sans" panose="020B0606030504020204" pitchFamily="34" charset="0"/>
                <a:cs typeface="Open Sans" panose="020B0606030504020204" pitchFamily="34" charset="0"/>
              </a:defRPr>
            </a:pPr>
            <a:r>
              <a:rPr lang="en-US" sz="1200" b="0"/>
              <a:t>Cash Flow</a:t>
            </a:r>
          </a:p>
        </c:rich>
      </c:tx>
      <c:overlay val="0"/>
      <c:spPr>
        <a:noFill/>
        <a:ln>
          <a:noFill/>
        </a:ln>
        <a:effectLst/>
      </c:spPr>
      <c:txPr>
        <a:bodyPr rot="0" spcFirstLastPara="1" vertOverflow="ellipsis" vert="horz" wrap="square" anchor="ctr" anchorCtr="1"/>
        <a:lstStyle/>
        <a:p>
          <a:pPr>
            <a:defRPr sz="1200" b="0" i="0" u="none" strike="noStrike" kern="1200" spc="0" baseline="0">
              <a:solidFill>
                <a:schemeClr val="tx1">
                  <a:lumMod val="65000"/>
                  <a:lumOff val="35000"/>
                </a:schemeClr>
              </a:solidFill>
              <a:latin typeface="Open Sans" panose="020B0606030504020204" pitchFamily="34" charset="0"/>
              <a:ea typeface="Open Sans" panose="020B0606030504020204" pitchFamily="34" charset="0"/>
              <a:cs typeface="Open Sans" panose="020B0606030504020204" pitchFamily="34" charset="0"/>
            </a:defRPr>
          </a:pPr>
          <a:endParaRPr lang="en-AR"/>
        </a:p>
      </c:txPr>
    </c:title>
    <c:autoTitleDeleted val="0"/>
    <c:plotArea>
      <c:layout/>
      <c:barChart>
        <c:barDir val="col"/>
        <c:grouping val="clustered"/>
        <c:varyColors val="0"/>
        <c:ser>
          <c:idx val="0"/>
          <c:order val="0"/>
          <c:spPr>
            <a:solidFill>
              <a:schemeClr val="bg2"/>
            </a:solidFill>
            <a:ln>
              <a:noFill/>
            </a:ln>
            <a:effectLst/>
          </c:spPr>
          <c:invertIfNegative val="0"/>
          <c:dLbls>
            <c:numFmt formatCode="&quot;$&quot;#,##0" sourceLinked="0"/>
            <c:spPr>
              <a:noFill/>
              <a:ln>
                <a:noFill/>
              </a:ln>
              <a:effectLst/>
            </c:spPr>
            <c:txPr>
              <a:bodyPr rot="0" spcFirstLastPara="1" vertOverflow="ellipsis" vert="horz" wrap="square" anchor="ctr" anchorCtr="1"/>
              <a:lstStyle/>
              <a:p>
                <a:pPr>
                  <a:defRPr sz="800" b="0" i="0" u="none" strike="noStrike" kern="1200" baseline="0">
                    <a:solidFill>
                      <a:schemeClr val="bg2"/>
                    </a:solidFill>
                    <a:latin typeface="Open Sans" panose="020B0606030504020204" pitchFamily="34" charset="0"/>
                    <a:ea typeface="Open Sans" panose="020B0606030504020204" pitchFamily="34" charset="0"/>
                    <a:cs typeface="Open Sans" panose="020B0606030504020204" pitchFamily="34" charset="0"/>
                  </a:defRPr>
                </a:pPr>
                <a:endParaRPr lang="en-AR"/>
              </a:p>
            </c:txPr>
            <c:dLblPos val="out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cap="flat" cmpd="sng" algn="ctr">
                      <a:solidFill>
                        <a:schemeClr val="tx1">
                          <a:lumMod val="35000"/>
                          <a:lumOff val="65000"/>
                        </a:schemeClr>
                      </a:solidFill>
                      <a:round/>
                    </a:ln>
                    <a:effectLst/>
                  </c:spPr>
                </c15:leaderLines>
              </c:ext>
            </c:extLst>
          </c:dLbls>
          <c:cat>
            <c:numRef>
              <c:f>'DCF Model'!$E$18:$I$18</c:f>
              <c:numCache>
                <c:formatCode>m/d/yy</c:formatCode>
                <c:ptCount val="5"/>
                <c:pt idx="0">
                  <c:v>43281</c:v>
                </c:pt>
                <c:pt idx="1">
                  <c:v>43646</c:v>
                </c:pt>
                <c:pt idx="2">
                  <c:v>44012</c:v>
                </c:pt>
                <c:pt idx="3">
                  <c:v>44377</c:v>
                </c:pt>
                <c:pt idx="4">
                  <c:v>44742</c:v>
                </c:pt>
              </c:numCache>
            </c:numRef>
          </c:cat>
          <c:val>
            <c:numRef>
              <c:f>'DCF Model'!$E$28:$I$28</c:f>
              <c:numCache>
                <c:formatCode>_-* #,##0_-;\(#,##0\)_-;_-* "-"_-;_-@_-</c:formatCode>
                <c:ptCount val="5"/>
                <c:pt idx="0">
                  <c:v>17747.131000000001</c:v>
                </c:pt>
                <c:pt idx="1">
                  <c:v>37715.192064999996</c:v>
                </c:pt>
                <c:pt idx="2">
                  <c:v>41501.07372819999</c:v>
                </c:pt>
                <c:pt idx="3">
                  <c:v>43510.461665686991</c:v>
                </c:pt>
                <c:pt idx="4">
                  <c:v>47008.029943582223</c:v>
                </c:pt>
              </c:numCache>
            </c:numRef>
          </c:val>
          <c:extLst>
            <c:ext xmlns:c16="http://schemas.microsoft.com/office/drawing/2014/chart" uri="{C3380CC4-5D6E-409C-BE32-E72D297353CC}">
              <c16:uniqueId val="{00000000-B9C8-504C-8470-B44F74D1CFDE}"/>
            </c:ext>
          </c:extLst>
        </c:ser>
        <c:dLbls>
          <c:showLegendKey val="0"/>
          <c:showVal val="0"/>
          <c:showCatName val="0"/>
          <c:showSerName val="0"/>
          <c:showPercent val="0"/>
          <c:showBubbleSize val="0"/>
        </c:dLbls>
        <c:gapWidth val="50"/>
        <c:overlap val="-27"/>
        <c:axId val="542849320"/>
        <c:axId val="542849648"/>
      </c:barChart>
      <c:dateAx>
        <c:axId val="542849320"/>
        <c:scaling>
          <c:orientation val="minMax"/>
        </c:scaling>
        <c:delete val="0"/>
        <c:axPos val="b"/>
        <c:numFmt formatCode="yyyy" sourceLinked="0"/>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Open Sans" panose="020B0606030504020204" pitchFamily="34" charset="0"/>
                <a:ea typeface="Open Sans" panose="020B0606030504020204" pitchFamily="34" charset="0"/>
                <a:cs typeface="Open Sans" panose="020B0606030504020204" pitchFamily="34" charset="0"/>
              </a:defRPr>
            </a:pPr>
            <a:endParaRPr lang="en-AR"/>
          </a:p>
        </c:txPr>
        <c:crossAx val="542849648"/>
        <c:crosses val="autoZero"/>
        <c:auto val="1"/>
        <c:lblOffset val="100"/>
        <c:baseTimeUnit val="years"/>
        <c:majorUnit val="1"/>
        <c:majorTimeUnit val="years"/>
        <c:minorUnit val="1"/>
        <c:minorTimeUnit val="years"/>
      </c:dateAx>
      <c:valAx>
        <c:axId val="542849648"/>
        <c:scaling>
          <c:orientation val="minMax"/>
        </c:scaling>
        <c:delete val="0"/>
        <c:axPos val="l"/>
        <c:numFmt formatCode="&quot;$&quot;#,##0" sourceLinked="0"/>
        <c:majorTickMark val="none"/>
        <c:minorTickMark val="none"/>
        <c:tickLblPos val="nextTo"/>
        <c:spPr>
          <a:noFill/>
          <a:ln>
            <a:noFill/>
          </a:ln>
          <a:effectLst/>
        </c:spPr>
        <c:txPr>
          <a:bodyPr rot="-60000000" spcFirstLastPara="1" vertOverflow="ellipsis" vert="horz" wrap="square" anchor="ctr" anchorCtr="1"/>
          <a:lstStyle/>
          <a:p>
            <a:pPr>
              <a:defRPr sz="800" b="0" i="0" u="none" strike="noStrike" kern="1200" baseline="0">
                <a:solidFill>
                  <a:schemeClr val="tx1">
                    <a:lumMod val="65000"/>
                    <a:lumOff val="35000"/>
                  </a:schemeClr>
                </a:solidFill>
                <a:latin typeface="Open Sans" panose="020B0606030504020204" pitchFamily="34" charset="0"/>
                <a:ea typeface="Open Sans" panose="020B0606030504020204" pitchFamily="34" charset="0"/>
                <a:cs typeface="Open Sans" panose="020B0606030504020204" pitchFamily="34" charset="0"/>
              </a:defRPr>
            </a:pPr>
            <a:endParaRPr lang="en-AR"/>
          </a:p>
        </c:txPr>
        <c:crossAx val="542849320"/>
        <c:crosses val="autoZero"/>
        <c:crossBetween val="between"/>
      </c:valAx>
      <c:spPr>
        <a:noFill/>
        <a:ln>
          <a:noFill/>
        </a:ln>
        <a:effectLst/>
      </c:spPr>
    </c:plotArea>
    <c:plotVisOnly val="1"/>
    <c:dispBlanksAs val="gap"/>
    <c:showDLblsOverMax val="0"/>
  </c:chart>
  <c:spPr>
    <a:noFill/>
    <a:ln w="9525" cap="flat" cmpd="sng" algn="ctr">
      <a:noFill/>
      <a:round/>
    </a:ln>
    <a:effectLst/>
  </c:spPr>
  <c:txPr>
    <a:bodyPr/>
    <a:lstStyle/>
    <a:p>
      <a:pPr>
        <a:defRPr>
          <a:latin typeface="Open Sans" panose="020B0606030504020204" pitchFamily="34" charset="0"/>
          <a:ea typeface="Open Sans" panose="020B0606030504020204" pitchFamily="34" charset="0"/>
          <a:cs typeface="Open Sans" panose="020B0606030504020204" pitchFamily="34" charset="0"/>
        </a:defRPr>
      </a:pPr>
      <a:endParaRPr lang="en-AR"/>
    </a:p>
  </c:txPr>
  <c:printSettings>
    <c:headerFooter/>
    <c:pageMargins b="0.75" l="0.7" r="0.7" t="0.75" header="0.3" footer="0.3"/>
    <c:pageSetup/>
  </c:printSettings>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_xlchart.v1.0</cx:f>
      </cx:strDim>
      <cx:numDim type="val">
        <cx:f>_xlchart.v1.1</cx:f>
      </cx:numDim>
    </cx:data>
  </cx:chartData>
  <cx:chart>
    <cx:title pos="t" align="ctr" overlay="0">
      <cx:tx>
        <cx:rich>
          <a:bodyPr spcFirstLastPara="1" vertOverflow="ellipsis" horzOverflow="overflow" wrap="square" lIns="0" tIns="0" rIns="0" bIns="0" anchor="ctr" anchorCtr="1"/>
          <a:lstStyle/>
          <a:p>
            <a:pPr algn="ctr" rtl="0">
              <a:defRPr>
                <a:latin typeface="Open Sans" panose="020B0606030504020204" pitchFamily="34" charset="0"/>
                <a:ea typeface="Open Sans" panose="020B0606030504020204" pitchFamily="34" charset="0"/>
                <a:cs typeface="Open Sans" panose="020B0606030504020204" pitchFamily="34" charset="0"/>
              </a:defRPr>
            </a:pPr>
            <a:r>
              <a:rPr lang="en-US" sz="1200" b="0" i="0" u="none" strike="noStrike" baseline="0">
                <a:solidFill>
                  <a:sysClr val="windowText" lastClr="000000">
                    <a:lumMod val="65000"/>
                    <a:lumOff val="35000"/>
                  </a:sysClr>
                </a:solidFill>
                <a:latin typeface="Open Sans" panose="020B0606030504020204" pitchFamily="34" charset="0"/>
                <a:ea typeface="Open Sans" panose="020B0606030504020204" pitchFamily="34" charset="0"/>
                <a:cs typeface="Open Sans" panose="020B0606030504020204" pitchFamily="34" charset="0"/>
              </a:rPr>
              <a:t>Market Value vs Intrinsic Value</a:t>
            </a:r>
            <a:endParaRPr lang="en-US" sz="1400" b="0" i="0" u="none" strike="noStrike" baseline="0">
              <a:solidFill>
                <a:sysClr val="windowText" lastClr="000000">
                  <a:lumMod val="65000"/>
                  <a:lumOff val="35000"/>
                </a:sysClr>
              </a:solidFill>
              <a:latin typeface="Open Sans" panose="020B0606030504020204" pitchFamily="34" charset="0"/>
              <a:ea typeface="Open Sans" panose="020B0606030504020204" pitchFamily="34" charset="0"/>
              <a:cs typeface="Open Sans" panose="020B0606030504020204" pitchFamily="34" charset="0"/>
            </a:endParaRPr>
          </a:p>
        </cx:rich>
      </cx:tx>
    </cx:title>
    <cx:plotArea>
      <cx:plotAreaRegion>
        <cx:plotSurface>
          <cx:spPr>
            <a:noFill/>
            <a:ln>
              <a:noFill/>
            </a:ln>
          </cx:spPr>
        </cx:plotSurface>
        <cx:series layoutId="waterfall" uniqueId="{8DE9D384-90CA-46AD-9838-15A56339DF8B}" formatIdx="1">
          <cx:spPr>
            <a:solidFill>
              <a:schemeClr val="bg2"/>
            </a:solidFill>
          </cx:spPr>
          <cx:dataPt idx="0">
            <cx:spPr>
              <a:solidFill>
                <a:srgbClr val="132E57"/>
              </a:solidFill>
            </cx:spPr>
          </cx:dataPt>
          <cx:dataPt idx="1">
            <cx:spPr>
              <a:solidFill>
                <a:srgbClr val="1E8496"/>
              </a:solidFill>
            </cx:spPr>
          </cx:dataPt>
          <cx:dataPt idx="2">
            <cx:spPr>
              <a:solidFill>
                <a:srgbClr val="ED942D"/>
              </a:solidFill>
            </cx:spPr>
          </cx:dataPt>
          <cx:dataLabels pos="outEnd">
            <cx:numFmt formatCode="$#,##0.00" sourceLinked="0"/>
            <cx:txPr>
              <a:bodyPr spcFirstLastPara="1" vertOverflow="ellipsis" horzOverflow="overflow" wrap="square" lIns="0" tIns="0" rIns="0" bIns="0" anchor="ctr" anchorCtr="1"/>
              <a:lstStyle/>
              <a:p>
                <a:pPr algn="ctr" rtl="0">
                  <a:defRPr>
                    <a:solidFill>
                      <a:schemeClr val="bg2"/>
                    </a:solidFill>
                  </a:defRPr>
                </a:pPr>
                <a:endParaRPr lang="en-US" sz="900" b="0" i="0" u="none" strike="noStrike" baseline="0">
                  <a:solidFill>
                    <a:schemeClr val="bg2"/>
                  </a:solidFill>
                  <a:latin typeface="Calibri" panose="020F0502020204030204"/>
                </a:endParaRPr>
              </a:p>
            </cx:txPr>
            <cx:visibility seriesName="0" categoryName="0" value="1"/>
            <cx:separator>, </cx:separator>
          </cx:dataLabels>
          <cx:dataId val="0"/>
          <cx:layoutPr>
            <cx:subtotals>
              <cx:idx val="2"/>
            </cx:subtotals>
          </cx:layoutPr>
        </cx:series>
      </cx:plotAreaRegion>
      <cx:axis id="0">
        <cx:catScaling gapWidth="0.5"/>
        <cx:tickLabels/>
      </cx:axis>
      <cx:axis id="1">
        <cx:valScaling/>
        <cx:tickLabels/>
        <cx:numFmt formatCode="$#,##0.00" sourceLinked="0"/>
        <cx:txPr>
          <a:bodyPr spcFirstLastPara="1" vertOverflow="ellipsis" horzOverflow="overflow" wrap="square" lIns="0" tIns="0" rIns="0" bIns="0" anchor="ctr" anchorCtr="1"/>
          <a:lstStyle/>
          <a:p>
            <a:pPr algn="ctr" rtl="0">
              <a:defRPr sz="800">
                <a:latin typeface="Open Sans" panose="020B0606030504020204" pitchFamily="34" charset="0"/>
                <a:ea typeface="Open Sans" panose="020B0606030504020204" pitchFamily="34" charset="0"/>
                <a:cs typeface="Open Sans" panose="020B0606030504020204" pitchFamily="34" charset="0"/>
              </a:defRPr>
            </a:pPr>
            <a:endParaRPr lang="en-US" sz="800" b="0" i="0" u="none" strike="noStrike" baseline="0">
              <a:solidFill>
                <a:sysClr val="windowText" lastClr="000000">
                  <a:lumMod val="65000"/>
                  <a:lumOff val="35000"/>
                </a:sysClr>
              </a:solidFill>
              <a:latin typeface="Open Sans" panose="020B0606030504020204" pitchFamily="34" charset="0"/>
              <a:ea typeface="Open Sans" panose="020B0606030504020204" pitchFamily="34" charset="0"/>
              <a:cs typeface="Open Sans" panose="020B0606030504020204" pitchFamily="34" charset="0"/>
            </a:endParaRPr>
          </a:p>
        </cx:txPr>
      </cx:axis>
    </cx:plotArea>
  </cx:chart>
  <cx:spPr>
    <a:noFill/>
    <a:ln>
      <a:noFill/>
    </a:ln>
  </cx:spPr>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395">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9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64.png"/><Relationship Id="rId13" Type="http://schemas.openxmlformats.org/officeDocument/2006/relationships/image" Target="../media/image69.png"/><Relationship Id="rId3" Type="http://schemas.openxmlformats.org/officeDocument/2006/relationships/image" Target="../media/image59.png"/><Relationship Id="rId7" Type="http://schemas.openxmlformats.org/officeDocument/2006/relationships/image" Target="../media/image63.png"/><Relationship Id="rId12" Type="http://schemas.openxmlformats.org/officeDocument/2006/relationships/image" Target="../media/image68.png"/><Relationship Id="rId2" Type="http://schemas.openxmlformats.org/officeDocument/2006/relationships/image" Target="../media/image58.png"/><Relationship Id="rId1" Type="http://schemas.openxmlformats.org/officeDocument/2006/relationships/image" Target="../media/image57.png"/><Relationship Id="rId6" Type="http://schemas.openxmlformats.org/officeDocument/2006/relationships/image" Target="../media/image62.png"/><Relationship Id="rId11" Type="http://schemas.openxmlformats.org/officeDocument/2006/relationships/image" Target="../media/image67.png"/><Relationship Id="rId5" Type="http://schemas.openxmlformats.org/officeDocument/2006/relationships/image" Target="../media/image61.png"/><Relationship Id="rId10" Type="http://schemas.openxmlformats.org/officeDocument/2006/relationships/image" Target="../media/image66.png"/><Relationship Id="rId4" Type="http://schemas.openxmlformats.org/officeDocument/2006/relationships/image" Target="../media/image60.png"/><Relationship Id="rId9" Type="http://schemas.openxmlformats.org/officeDocument/2006/relationships/image" Target="../media/image65.png"/></Relationships>
</file>

<file path=xl/drawings/_rels/drawing11.xml.rels><?xml version="1.0" encoding="UTF-8" standalone="yes"?>
<Relationships xmlns="http://schemas.openxmlformats.org/package/2006/relationships"><Relationship Id="rId8" Type="http://schemas.openxmlformats.org/officeDocument/2006/relationships/image" Target="../media/image77.png"/><Relationship Id="rId3" Type="http://schemas.openxmlformats.org/officeDocument/2006/relationships/image" Target="../media/image72.png"/><Relationship Id="rId7" Type="http://schemas.openxmlformats.org/officeDocument/2006/relationships/image" Target="../media/image76.png"/><Relationship Id="rId12" Type="http://schemas.openxmlformats.org/officeDocument/2006/relationships/image" Target="../media/image81.png"/><Relationship Id="rId2" Type="http://schemas.openxmlformats.org/officeDocument/2006/relationships/image" Target="../media/image71.png"/><Relationship Id="rId1" Type="http://schemas.openxmlformats.org/officeDocument/2006/relationships/image" Target="../media/image70.png"/><Relationship Id="rId6" Type="http://schemas.openxmlformats.org/officeDocument/2006/relationships/image" Target="../media/image75.png"/><Relationship Id="rId11" Type="http://schemas.openxmlformats.org/officeDocument/2006/relationships/image" Target="../media/image80.png"/><Relationship Id="rId5" Type="http://schemas.openxmlformats.org/officeDocument/2006/relationships/image" Target="../media/image74.png"/><Relationship Id="rId10" Type="http://schemas.openxmlformats.org/officeDocument/2006/relationships/image" Target="../media/image79.png"/><Relationship Id="rId4" Type="http://schemas.openxmlformats.org/officeDocument/2006/relationships/image" Target="../media/image73.png"/><Relationship Id="rId9" Type="http://schemas.openxmlformats.org/officeDocument/2006/relationships/image" Target="../media/image78.png"/></Relationships>
</file>

<file path=xl/drawings/_rels/drawing2.xml.rels><?xml version="1.0" encoding="UTF-8" standalone="yes"?>
<Relationships xmlns="http://schemas.openxmlformats.org/package/2006/relationships"><Relationship Id="rId2" Type="http://schemas.openxmlformats.org/officeDocument/2006/relationships/image" Target="../media/image4.png"/><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8" Type="http://schemas.openxmlformats.org/officeDocument/2006/relationships/image" Target="../media/image12.png"/><Relationship Id="rId13" Type="http://schemas.openxmlformats.org/officeDocument/2006/relationships/image" Target="../media/image17.png"/><Relationship Id="rId3" Type="http://schemas.openxmlformats.org/officeDocument/2006/relationships/image" Target="../media/image7.png"/><Relationship Id="rId7" Type="http://schemas.openxmlformats.org/officeDocument/2006/relationships/image" Target="../media/image11.png"/><Relationship Id="rId12" Type="http://schemas.openxmlformats.org/officeDocument/2006/relationships/image" Target="../media/image16.png"/><Relationship Id="rId17" Type="http://schemas.openxmlformats.org/officeDocument/2006/relationships/image" Target="../media/image21.png"/><Relationship Id="rId2" Type="http://schemas.openxmlformats.org/officeDocument/2006/relationships/image" Target="../media/image6.png"/><Relationship Id="rId16" Type="http://schemas.openxmlformats.org/officeDocument/2006/relationships/image" Target="../media/image20.png"/><Relationship Id="rId1" Type="http://schemas.openxmlformats.org/officeDocument/2006/relationships/image" Target="../media/image5.png"/><Relationship Id="rId6" Type="http://schemas.openxmlformats.org/officeDocument/2006/relationships/image" Target="../media/image10.png"/><Relationship Id="rId11" Type="http://schemas.openxmlformats.org/officeDocument/2006/relationships/image" Target="../media/image15.png"/><Relationship Id="rId5" Type="http://schemas.openxmlformats.org/officeDocument/2006/relationships/image" Target="../media/image9.png"/><Relationship Id="rId15" Type="http://schemas.openxmlformats.org/officeDocument/2006/relationships/image" Target="../media/image19.png"/><Relationship Id="rId10" Type="http://schemas.openxmlformats.org/officeDocument/2006/relationships/image" Target="../media/image14.png"/><Relationship Id="rId4" Type="http://schemas.openxmlformats.org/officeDocument/2006/relationships/image" Target="../media/image8.png"/><Relationship Id="rId9" Type="http://schemas.openxmlformats.org/officeDocument/2006/relationships/image" Target="../media/image13.png"/><Relationship Id="rId14" Type="http://schemas.openxmlformats.org/officeDocument/2006/relationships/image" Target="../media/image18.png"/></Relationships>
</file>

<file path=xl/drawings/_rels/drawing5.xml.rels><?xml version="1.0" encoding="UTF-8" standalone="yes"?>
<Relationships xmlns="http://schemas.openxmlformats.org/package/2006/relationships"><Relationship Id="rId3" Type="http://schemas.openxmlformats.org/officeDocument/2006/relationships/image" Target="../media/image24.png"/><Relationship Id="rId2" Type="http://schemas.openxmlformats.org/officeDocument/2006/relationships/image" Target="../media/image23.png"/><Relationship Id="rId1" Type="http://schemas.openxmlformats.org/officeDocument/2006/relationships/image" Target="../media/image22.png"/><Relationship Id="rId5" Type="http://schemas.openxmlformats.org/officeDocument/2006/relationships/image" Target="../media/image26.png"/><Relationship Id="rId4" Type="http://schemas.openxmlformats.org/officeDocument/2006/relationships/image" Target="../media/image25.png"/></Relationships>
</file>

<file path=xl/drawings/_rels/drawing6.xml.rels><?xml version="1.0" encoding="UTF-8" standalone="yes"?>
<Relationships xmlns="http://schemas.openxmlformats.org/package/2006/relationships"><Relationship Id="rId2" Type="http://schemas.microsoft.com/office/2014/relationships/chartEx" Target="../charts/chartEx1.xml"/><Relationship Id="rId1" Type="http://schemas.openxmlformats.org/officeDocument/2006/relationships/chart" Target="../charts/chart1.xml"/></Relationships>
</file>

<file path=xl/drawings/_rels/drawing7.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 Id="rId6" Type="http://schemas.openxmlformats.org/officeDocument/2006/relationships/image" Target="../media/image32.png"/><Relationship Id="rId5" Type="http://schemas.openxmlformats.org/officeDocument/2006/relationships/image" Target="../media/image31.png"/><Relationship Id="rId4" Type="http://schemas.openxmlformats.org/officeDocument/2006/relationships/image" Target="../media/image30.png"/></Relationships>
</file>

<file path=xl/drawings/_rels/drawing8.xml.rels><?xml version="1.0" encoding="UTF-8" standalone="yes"?>
<Relationships xmlns="http://schemas.openxmlformats.org/package/2006/relationships"><Relationship Id="rId8" Type="http://schemas.openxmlformats.org/officeDocument/2006/relationships/image" Target="../media/image39.png"/><Relationship Id="rId3" Type="http://schemas.openxmlformats.org/officeDocument/2006/relationships/customXml" Target="../ink/ink1.xml"/><Relationship Id="rId7" Type="http://schemas.openxmlformats.org/officeDocument/2006/relationships/image" Target="../media/image38.png"/><Relationship Id="rId2" Type="http://schemas.openxmlformats.org/officeDocument/2006/relationships/image" Target="../media/image34.png"/><Relationship Id="rId1" Type="http://schemas.openxmlformats.org/officeDocument/2006/relationships/image" Target="../media/image33.png"/><Relationship Id="rId6" Type="http://schemas.openxmlformats.org/officeDocument/2006/relationships/image" Target="../media/image37.png"/><Relationship Id="rId5" Type="http://schemas.openxmlformats.org/officeDocument/2006/relationships/image" Target="../media/image36.png"/><Relationship Id="rId10" Type="http://schemas.openxmlformats.org/officeDocument/2006/relationships/image" Target="../media/image41.png"/><Relationship Id="rId4" Type="http://schemas.openxmlformats.org/officeDocument/2006/relationships/image" Target="../media/image35.png"/><Relationship Id="rId9" Type="http://schemas.openxmlformats.org/officeDocument/2006/relationships/image" Target="../media/image40.png"/></Relationships>
</file>

<file path=xl/drawings/_rels/drawing9.xml.rels><?xml version="1.0" encoding="UTF-8" standalone="yes"?>
<Relationships xmlns="http://schemas.openxmlformats.org/package/2006/relationships"><Relationship Id="rId8" Type="http://schemas.openxmlformats.org/officeDocument/2006/relationships/image" Target="../media/image49.png"/><Relationship Id="rId13" Type="http://schemas.openxmlformats.org/officeDocument/2006/relationships/image" Target="../media/image54.png"/><Relationship Id="rId3" Type="http://schemas.openxmlformats.org/officeDocument/2006/relationships/image" Target="../media/image44.png"/><Relationship Id="rId7" Type="http://schemas.openxmlformats.org/officeDocument/2006/relationships/image" Target="../media/image48.png"/><Relationship Id="rId12" Type="http://schemas.openxmlformats.org/officeDocument/2006/relationships/image" Target="../media/image53.png"/><Relationship Id="rId2" Type="http://schemas.openxmlformats.org/officeDocument/2006/relationships/image" Target="../media/image43.png"/><Relationship Id="rId1" Type="http://schemas.openxmlformats.org/officeDocument/2006/relationships/image" Target="../media/image42.png"/><Relationship Id="rId6" Type="http://schemas.openxmlformats.org/officeDocument/2006/relationships/image" Target="../media/image47.png"/><Relationship Id="rId11" Type="http://schemas.openxmlformats.org/officeDocument/2006/relationships/image" Target="../media/image52.png"/><Relationship Id="rId5" Type="http://schemas.openxmlformats.org/officeDocument/2006/relationships/image" Target="../media/image46.png"/><Relationship Id="rId15" Type="http://schemas.openxmlformats.org/officeDocument/2006/relationships/image" Target="../media/image56.png"/><Relationship Id="rId10" Type="http://schemas.openxmlformats.org/officeDocument/2006/relationships/image" Target="../media/image51.png"/><Relationship Id="rId4" Type="http://schemas.openxmlformats.org/officeDocument/2006/relationships/image" Target="../media/image45.png"/><Relationship Id="rId9" Type="http://schemas.openxmlformats.org/officeDocument/2006/relationships/image" Target="../media/image50.png"/><Relationship Id="rId14" Type="http://schemas.openxmlformats.org/officeDocument/2006/relationships/image" Target="../media/image55.png"/></Relationships>
</file>

<file path=xl/drawings/drawing1.xml><?xml version="1.0" encoding="utf-8"?>
<xdr:wsDr xmlns:xdr="http://schemas.openxmlformats.org/drawingml/2006/spreadsheetDrawing" xmlns:a="http://schemas.openxmlformats.org/drawingml/2006/main">
  <xdr:twoCellAnchor editAs="oneCell">
    <xdr:from>
      <xdr:col>0</xdr:col>
      <xdr:colOff>41738</xdr:colOff>
      <xdr:row>4</xdr:row>
      <xdr:rowOff>59624</xdr:rowOff>
    </xdr:from>
    <xdr:to>
      <xdr:col>3</xdr:col>
      <xdr:colOff>646687</xdr:colOff>
      <xdr:row>6</xdr:row>
      <xdr:rowOff>149478</xdr:rowOff>
    </xdr:to>
    <xdr:pic>
      <xdr:nvPicPr>
        <xdr:cNvPr id="2" name="Picture 1">
          <a:extLst>
            <a:ext uri="{FF2B5EF4-FFF2-40B4-BE49-F238E27FC236}">
              <a16:creationId xmlns:a16="http://schemas.microsoft.com/office/drawing/2014/main" id="{855657E3-631E-31A7-0B81-64B4E26DDD37}"/>
            </a:ext>
          </a:extLst>
        </xdr:cNvPr>
        <xdr:cNvPicPr>
          <a:picLocks noChangeAspect="1"/>
        </xdr:cNvPicPr>
      </xdr:nvPicPr>
      <xdr:blipFill>
        <a:blip xmlns:r="http://schemas.openxmlformats.org/officeDocument/2006/relationships" r:embed="rId1"/>
        <a:stretch>
          <a:fillRect/>
        </a:stretch>
      </xdr:blipFill>
      <xdr:spPr>
        <a:xfrm>
          <a:off x="41738" y="995727"/>
          <a:ext cx="3073400" cy="495300"/>
        </a:xfrm>
        <a:prstGeom prst="rect">
          <a:avLst/>
        </a:prstGeom>
      </xdr:spPr>
    </xdr:pic>
    <xdr:clientData/>
  </xdr:twoCellAnchor>
  <xdr:twoCellAnchor editAs="oneCell">
    <xdr:from>
      <xdr:col>0</xdr:col>
      <xdr:colOff>252635</xdr:colOff>
      <xdr:row>84</xdr:row>
      <xdr:rowOff>75107</xdr:rowOff>
    </xdr:from>
    <xdr:to>
      <xdr:col>3</xdr:col>
      <xdr:colOff>368711</xdr:colOff>
      <xdr:row>87</xdr:row>
      <xdr:rowOff>126468</xdr:rowOff>
    </xdr:to>
    <xdr:pic>
      <xdr:nvPicPr>
        <xdr:cNvPr id="3" name="Picture 2">
          <a:extLst>
            <a:ext uri="{FF2B5EF4-FFF2-40B4-BE49-F238E27FC236}">
              <a16:creationId xmlns:a16="http://schemas.microsoft.com/office/drawing/2014/main" id="{FF0E74C7-CD34-F64F-A7B4-88A7F0496ACE}"/>
            </a:ext>
          </a:extLst>
        </xdr:cNvPr>
        <xdr:cNvPicPr>
          <a:picLocks noChangeAspect="1"/>
        </xdr:cNvPicPr>
      </xdr:nvPicPr>
      <xdr:blipFill>
        <a:blip xmlns:r="http://schemas.openxmlformats.org/officeDocument/2006/relationships" r:embed="rId2"/>
        <a:stretch>
          <a:fillRect/>
        </a:stretch>
      </xdr:blipFill>
      <xdr:spPr>
        <a:xfrm>
          <a:off x="252635" y="17691236"/>
          <a:ext cx="2594624" cy="665877"/>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6</xdr:col>
      <xdr:colOff>1841500</xdr:colOff>
      <xdr:row>2</xdr:row>
      <xdr:rowOff>50800</xdr:rowOff>
    </xdr:to>
    <xdr:pic>
      <xdr:nvPicPr>
        <xdr:cNvPr id="2" name="Picture 1">
          <a:extLst>
            <a:ext uri="{FF2B5EF4-FFF2-40B4-BE49-F238E27FC236}">
              <a16:creationId xmlns:a16="http://schemas.microsoft.com/office/drawing/2014/main" id="{1308E0C1-BEC5-D44C-78A0-945B42C419E6}"/>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812800"/>
          <a:ext cx="80010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3</xdr:row>
      <xdr:rowOff>0</xdr:rowOff>
    </xdr:from>
    <xdr:to>
      <xdr:col>5</xdr:col>
      <xdr:colOff>6395</xdr:colOff>
      <xdr:row>4</xdr:row>
      <xdr:rowOff>50800</xdr:rowOff>
    </xdr:to>
    <xdr:pic>
      <xdr:nvPicPr>
        <xdr:cNvPr id="3" name="Picture 2">
          <a:extLst>
            <a:ext uri="{FF2B5EF4-FFF2-40B4-BE49-F238E27FC236}">
              <a16:creationId xmlns:a16="http://schemas.microsoft.com/office/drawing/2014/main" id="{7C7A3891-FBFC-CA44-A3B0-158F4804B1EA}"/>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219200"/>
          <a:ext cx="53467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xdr:col>
      <xdr:colOff>97693</xdr:colOff>
      <xdr:row>4</xdr:row>
      <xdr:rowOff>105207</xdr:rowOff>
    </xdr:from>
    <xdr:to>
      <xdr:col>6</xdr:col>
      <xdr:colOff>1148641</xdr:colOff>
      <xdr:row>5</xdr:row>
      <xdr:rowOff>156007</xdr:rowOff>
    </xdr:to>
    <xdr:pic>
      <xdr:nvPicPr>
        <xdr:cNvPr id="4" name="Picture 3">
          <a:extLst>
            <a:ext uri="{FF2B5EF4-FFF2-40B4-BE49-F238E27FC236}">
              <a16:creationId xmlns:a16="http://schemas.microsoft.com/office/drawing/2014/main" id="{023A320E-6E7D-EB85-083F-2F9F75FB68B8}"/>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924320" y="1525503"/>
          <a:ext cx="6395991" cy="25369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4</xdr:col>
      <xdr:colOff>24372</xdr:colOff>
      <xdr:row>71</xdr:row>
      <xdr:rowOff>163370</xdr:rowOff>
    </xdr:from>
    <xdr:to>
      <xdr:col>8</xdr:col>
      <xdr:colOff>268475</xdr:colOff>
      <xdr:row>72</xdr:row>
      <xdr:rowOff>163501</xdr:rowOff>
    </xdr:to>
    <mc:AlternateContent xmlns:mc="http://schemas.openxmlformats.org/markup-compatibility/2006">
      <mc:Choice xmlns:a14="http://schemas.microsoft.com/office/drawing/2010/main" Requires="a14">
        <xdr:sp macro="" textlink="">
          <xdr:nvSpPr>
            <xdr:cNvPr id="12" name="TextBox 4">
              <a:extLst>
                <a:ext uri="{FF2B5EF4-FFF2-40B4-BE49-F238E27FC236}">
                  <a16:creationId xmlns:a16="http://schemas.microsoft.com/office/drawing/2014/main" id="{A8D78990-FE6F-7A46-990F-BE2C2C25C245}"/>
                </a:ext>
              </a:extLst>
            </xdr:cNvPr>
            <xdr:cNvSpPr txBox="1"/>
          </xdr:nvSpPr>
          <xdr:spPr>
            <a:xfrm>
              <a:off x="4888472" y="10424970"/>
              <a:ext cx="4473203" cy="190631"/>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a:rPr lang="en-US" sz="1200" b="0" i="1">
                        <a:latin typeface="Cambria Math" panose="02040503050406030204" pitchFamily="18" charset="0"/>
                      </a:rPr>
                      <m:t>𝐹𝐶𝐹𝐸</m:t>
                    </m:r>
                    <m:r>
                      <a:rPr lang="en-US" sz="1200" b="0" i="1">
                        <a:latin typeface="Cambria Math" panose="02040503050406030204" pitchFamily="18" charset="0"/>
                      </a:rPr>
                      <m:t>=</m:t>
                    </m:r>
                    <m:r>
                      <a:rPr lang="en-US" sz="1200" b="0" i="1">
                        <a:latin typeface="Cambria Math" panose="02040503050406030204" pitchFamily="18" charset="0"/>
                      </a:rPr>
                      <m:t>𝑁𝐼</m:t>
                    </m:r>
                    <m:r>
                      <a:rPr lang="en-US" sz="1200" b="0" i="1">
                        <a:latin typeface="Cambria Math" panose="02040503050406030204" pitchFamily="18" charset="0"/>
                      </a:rPr>
                      <m:t>+</m:t>
                    </m:r>
                    <m:r>
                      <a:rPr lang="en-US" sz="1200" b="0" i="1">
                        <a:latin typeface="Cambria Math" panose="02040503050406030204" pitchFamily="18" charset="0"/>
                      </a:rPr>
                      <m:t>𝑁𝐶𝐶</m:t>
                    </m:r>
                    <m:r>
                      <a:rPr lang="en-US" sz="1200" b="0" i="1">
                        <a:latin typeface="Cambria Math" panose="02040503050406030204" pitchFamily="18" charset="0"/>
                      </a:rPr>
                      <m:t>−</m:t>
                    </m:r>
                    <m:r>
                      <a:rPr lang="en-US" sz="1200" b="0" i="1">
                        <a:latin typeface="Cambria Math" panose="02040503050406030204" pitchFamily="18" charset="0"/>
                      </a:rPr>
                      <m:t>𝐹𝐶𝐼𝑛𝑣</m:t>
                    </m:r>
                    <m:r>
                      <a:rPr lang="en-US" sz="1200" b="0" i="1">
                        <a:latin typeface="Cambria Math" panose="02040503050406030204" pitchFamily="18" charset="0"/>
                      </a:rPr>
                      <m:t>−</m:t>
                    </m:r>
                    <m:r>
                      <a:rPr lang="en-US" sz="1200" b="0" i="1">
                        <a:latin typeface="Cambria Math" panose="02040503050406030204" pitchFamily="18" charset="0"/>
                      </a:rPr>
                      <m:t>𝑊𝐶𝐼𝑛𝑣</m:t>
                    </m:r>
                    <m:r>
                      <a:rPr lang="en-US" sz="1200" b="0" i="1">
                        <a:latin typeface="Cambria Math" panose="02040503050406030204" pitchFamily="18" charset="0"/>
                      </a:rPr>
                      <m:t>+</m:t>
                    </m:r>
                    <m:r>
                      <a:rPr lang="en-US" sz="1200" b="0" i="1">
                        <a:latin typeface="Cambria Math" panose="02040503050406030204" pitchFamily="18" charset="0"/>
                      </a:rPr>
                      <m:t>𝑁𝑒𝑡</m:t>
                    </m:r>
                    <m:r>
                      <a:rPr lang="en-US" sz="1200" b="0" i="1">
                        <a:latin typeface="Cambria Math" panose="02040503050406030204" pitchFamily="18" charset="0"/>
                      </a:rPr>
                      <m:t> </m:t>
                    </m:r>
                    <m:r>
                      <a:rPr lang="en-US" sz="1200" b="0" i="1">
                        <a:latin typeface="Cambria Math" panose="02040503050406030204" pitchFamily="18" charset="0"/>
                      </a:rPr>
                      <m:t>𝐵𝑜𝑟𝑟𝑜𝑤𝑖𝑛𝑔</m:t>
                    </m:r>
                  </m:oMath>
                </m:oMathPara>
              </a14:m>
              <a:endParaRPr lang="en-US" sz="1200"/>
            </a:p>
          </xdr:txBody>
        </xdr:sp>
      </mc:Choice>
      <mc:Fallback>
        <xdr:sp macro="" textlink="">
          <xdr:nvSpPr>
            <xdr:cNvPr id="12" name="TextBox 4">
              <a:extLst>
                <a:ext uri="{FF2B5EF4-FFF2-40B4-BE49-F238E27FC236}">
                  <a16:creationId xmlns:a16="http://schemas.microsoft.com/office/drawing/2014/main" id="{A8D78990-FE6F-7A46-990F-BE2C2C25C245}"/>
                </a:ext>
              </a:extLst>
            </xdr:cNvPr>
            <xdr:cNvSpPr txBox="1"/>
          </xdr:nvSpPr>
          <xdr:spPr>
            <a:xfrm>
              <a:off x="4888472" y="10424970"/>
              <a:ext cx="4473203" cy="190631"/>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sz="1200" b="0" i="0">
                  <a:latin typeface="Cambria Math" panose="02040503050406030204" pitchFamily="18" charset="0"/>
                </a:rPr>
                <a:t>𝐹𝐶𝐹𝐸=𝑁𝐼+𝑁𝐶𝐶−𝐹𝐶𝐼𝑛𝑣−𝑊𝐶𝐼𝑛𝑣+𝑁𝑒𝑡 𝐵𝑜𝑟𝑟𝑜𝑤𝑖𝑛𝑔</a:t>
              </a:r>
              <a:endParaRPr lang="en-US" sz="1200"/>
            </a:p>
          </xdr:txBody>
        </xdr:sp>
      </mc:Fallback>
    </mc:AlternateContent>
    <xdr:clientData/>
  </xdr:twoCellAnchor>
  <xdr:twoCellAnchor>
    <xdr:from>
      <xdr:col>4</xdr:col>
      <xdr:colOff>98536</xdr:colOff>
      <xdr:row>82</xdr:row>
      <xdr:rowOff>27130</xdr:rowOff>
    </xdr:from>
    <xdr:to>
      <xdr:col>7</xdr:col>
      <xdr:colOff>440123</xdr:colOff>
      <xdr:row>83</xdr:row>
      <xdr:rowOff>34881</xdr:rowOff>
    </xdr:to>
    <mc:AlternateContent xmlns:mc="http://schemas.openxmlformats.org/markup-compatibility/2006">
      <mc:Choice xmlns:a14="http://schemas.microsoft.com/office/drawing/2010/main" Requires="a14">
        <xdr:sp macro="" textlink="">
          <xdr:nvSpPr>
            <xdr:cNvPr id="13" name="TextBox 12">
              <a:extLst>
                <a:ext uri="{FF2B5EF4-FFF2-40B4-BE49-F238E27FC236}">
                  <a16:creationId xmlns:a16="http://schemas.microsoft.com/office/drawing/2014/main" id="{404FFCB8-F426-9E4C-B193-7953AC28B33A}"/>
                </a:ext>
              </a:extLst>
            </xdr:cNvPr>
            <xdr:cNvSpPr txBox="1"/>
          </xdr:nvSpPr>
          <xdr:spPr>
            <a:xfrm>
              <a:off x="4962636" y="12409630"/>
              <a:ext cx="3694387" cy="198251"/>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a:rPr lang="en-US" sz="1200" b="0" i="1">
                        <a:latin typeface="Cambria Math" panose="02040503050406030204" pitchFamily="18" charset="0"/>
                      </a:rPr>
                      <m:t>𝐹𝐶𝐹𝐹</m:t>
                    </m:r>
                    <m:r>
                      <a:rPr lang="en-US" sz="1200" b="0" i="1">
                        <a:latin typeface="Cambria Math" panose="02040503050406030204" pitchFamily="18" charset="0"/>
                      </a:rPr>
                      <m:t>=</m:t>
                    </m:r>
                    <m:r>
                      <a:rPr lang="en-US" sz="1200" i="1">
                        <a:latin typeface="Cambria Math" panose="02040503050406030204" pitchFamily="18" charset="0"/>
                      </a:rPr>
                      <m:t>𝐸𝐵𝐼𝑇</m:t>
                    </m:r>
                    <m:d>
                      <m:dPr>
                        <m:ctrlPr>
                          <a:rPr lang="en-US" sz="1200" i="1">
                            <a:latin typeface="Cambria Math" panose="02040503050406030204" pitchFamily="18" charset="0"/>
                          </a:rPr>
                        </m:ctrlPr>
                      </m:dPr>
                      <m:e>
                        <m:r>
                          <a:rPr lang="en-US" sz="1200" i="1">
                            <a:latin typeface="Cambria Math" panose="02040503050406030204" pitchFamily="18" charset="0"/>
                          </a:rPr>
                          <m:t>1−</m:t>
                        </m:r>
                        <m:r>
                          <a:rPr lang="en-US" sz="1200" i="1">
                            <a:latin typeface="Cambria Math" panose="02040503050406030204" pitchFamily="18" charset="0"/>
                          </a:rPr>
                          <m:t>𝑡</m:t>
                        </m:r>
                      </m:e>
                    </m:d>
                    <m:r>
                      <a:rPr lang="en-US" sz="1200" i="1">
                        <a:latin typeface="Cambria Math" panose="02040503050406030204" pitchFamily="18" charset="0"/>
                      </a:rPr>
                      <m:t>+</m:t>
                    </m:r>
                    <m:r>
                      <a:rPr lang="en-US" sz="1200" i="1">
                        <a:latin typeface="Cambria Math" panose="02040503050406030204" pitchFamily="18" charset="0"/>
                      </a:rPr>
                      <m:t>𝑁𝐶𝐶</m:t>
                    </m:r>
                    <m:r>
                      <a:rPr lang="en-US" sz="1200" b="0" i="1">
                        <a:latin typeface="Cambria Math" panose="02040503050406030204" pitchFamily="18" charset="0"/>
                      </a:rPr>
                      <m:t>−</m:t>
                    </m:r>
                    <m:r>
                      <a:rPr lang="en-US" sz="1200" b="0" i="1">
                        <a:latin typeface="Cambria Math" panose="02040503050406030204" pitchFamily="18" charset="0"/>
                      </a:rPr>
                      <m:t>𝐹𝐶𝐼𝑛𝑣</m:t>
                    </m:r>
                    <m:r>
                      <a:rPr lang="en-US" sz="1200" b="0" i="1">
                        <a:latin typeface="Cambria Math" panose="02040503050406030204" pitchFamily="18" charset="0"/>
                      </a:rPr>
                      <m:t>−</m:t>
                    </m:r>
                    <m:r>
                      <a:rPr lang="en-US" sz="1200" b="0" i="1">
                        <a:latin typeface="Cambria Math" panose="02040503050406030204" pitchFamily="18" charset="0"/>
                      </a:rPr>
                      <m:t>𝑊𝐶𝐼𝑛𝑣</m:t>
                    </m:r>
                  </m:oMath>
                </m:oMathPara>
              </a14:m>
              <a:endParaRPr lang="en-US" sz="1200"/>
            </a:p>
          </xdr:txBody>
        </xdr:sp>
      </mc:Choice>
      <mc:Fallback>
        <xdr:sp macro="" textlink="">
          <xdr:nvSpPr>
            <xdr:cNvPr id="13" name="TextBox 12">
              <a:extLst>
                <a:ext uri="{FF2B5EF4-FFF2-40B4-BE49-F238E27FC236}">
                  <a16:creationId xmlns:a16="http://schemas.microsoft.com/office/drawing/2014/main" id="{404FFCB8-F426-9E4C-B193-7953AC28B33A}"/>
                </a:ext>
              </a:extLst>
            </xdr:cNvPr>
            <xdr:cNvSpPr txBox="1"/>
          </xdr:nvSpPr>
          <xdr:spPr>
            <a:xfrm>
              <a:off x="4962636" y="12409630"/>
              <a:ext cx="3694387" cy="198251"/>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sz="1200" b="0" i="0">
                  <a:latin typeface="Cambria Math" panose="02040503050406030204" pitchFamily="18" charset="0"/>
                </a:rPr>
                <a:t>𝐹𝐶𝐹𝐹=</a:t>
              </a:r>
              <a:r>
                <a:rPr lang="en-US" sz="1200" i="0">
                  <a:latin typeface="Cambria Math" panose="02040503050406030204" pitchFamily="18" charset="0"/>
                </a:rPr>
                <a:t>𝐸𝐵𝐼𝑇(1−𝑡)+𝑁𝐶𝐶</a:t>
              </a:r>
              <a:r>
                <a:rPr lang="en-US" sz="1200" b="0" i="0">
                  <a:latin typeface="Cambria Math" panose="02040503050406030204" pitchFamily="18" charset="0"/>
                </a:rPr>
                <a:t>−𝐹𝐶𝐼𝑛𝑣−𝑊𝐶𝐼𝑛𝑣</a:t>
              </a:r>
              <a:endParaRPr lang="en-US" sz="1200"/>
            </a:p>
          </xdr:txBody>
        </xdr:sp>
      </mc:Fallback>
    </mc:AlternateContent>
    <xdr:clientData/>
  </xdr:twoCellAnchor>
  <xdr:twoCellAnchor>
    <xdr:from>
      <xdr:col>4</xdr:col>
      <xdr:colOff>72260</xdr:colOff>
      <xdr:row>90</xdr:row>
      <xdr:rowOff>177362</xdr:rowOff>
    </xdr:from>
    <xdr:to>
      <xdr:col>8</xdr:col>
      <xdr:colOff>44079</xdr:colOff>
      <xdr:row>92</xdr:row>
      <xdr:rowOff>1182</xdr:rowOff>
    </xdr:to>
    <mc:AlternateContent xmlns:mc="http://schemas.openxmlformats.org/markup-compatibility/2006">
      <mc:Choice xmlns:a14="http://schemas.microsoft.com/office/drawing/2010/main" Requires="a14">
        <xdr:sp macro="" textlink="">
          <xdr:nvSpPr>
            <xdr:cNvPr id="14" name="TextBox 11">
              <a:extLst>
                <a:ext uri="{FF2B5EF4-FFF2-40B4-BE49-F238E27FC236}">
                  <a16:creationId xmlns:a16="http://schemas.microsoft.com/office/drawing/2014/main" id="{777FF1B8-8365-7C42-A4C2-B88801D02AB0}"/>
                </a:ext>
              </a:extLst>
            </xdr:cNvPr>
            <xdr:cNvSpPr txBox="1"/>
          </xdr:nvSpPr>
          <xdr:spPr>
            <a:xfrm>
              <a:off x="4936360" y="14109262"/>
              <a:ext cx="4200919" cy="204820"/>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a:rPr lang="en-US" sz="1200" b="0" i="1">
                        <a:latin typeface="Cambria Math" panose="02040503050406030204" pitchFamily="18" charset="0"/>
                      </a:rPr>
                      <m:t>𝐹𝐶𝐹𝐹</m:t>
                    </m:r>
                    <m:r>
                      <a:rPr lang="en-US" sz="1200" b="0" i="1">
                        <a:latin typeface="Cambria Math" panose="02040503050406030204" pitchFamily="18" charset="0"/>
                      </a:rPr>
                      <m:t>=</m:t>
                    </m:r>
                    <m:r>
                      <a:rPr lang="en-US" sz="1200" i="1">
                        <a:latin typeface="Cambria Math" panose="02040503050406030204" pitchFamily="18" charset="0"/>
                      </a:rPr>
                      <m:t>𝐸𝐵𝐼𝑇</m:t>
                    </m:r>
                    <m:r>
                      <a:rPr lang="en-US" sz="1200" b="0" i="1">
                        <a:latin typeface="Cambria Math" panose="02040503050406030204" pitchFamily="18" charset="0"/>
                      </a:rPr>
                      <m:t>𝐷𝐴</m:t>
                    </m:r>
                    <m:d>
                      <m:dPr>
                        <m:ctrlPr>
                          <a:rPr lang="en-US" sz="1200" i="1">
                            <a:latin typeface="Cambria Math" panose="02040503050406030204" pitchFamily="18" charset="0"/>
                          </a:rPr>
                        </m:ctrlPr>
                      </m:dPr>
                      <m:e>
                        <m:r>
                          <a:rPr lang="en-US" sz="1200" i="1">
                            <a:latin typeface="Cambria Math" panose="02040503050406030204" pitchFamily="18" charset="0"/>
                          </a:rPr>
                          <m:t>1−</m:t>
                        </m:r>
                        <m:r>
                          <a:rPr lang="en-US" sz="1200" i="1">
                            <a:latin typeface="Cambria Math" panose="02040503050406030204" pitchFamily="18" charset="0"/>
                          </a:rPr>
                          <m:t>𝑡</m:t>
                        </m:r>
                      </m:e>
                    </m:d>
                    <m:r>
                      <a:rPr lang="en-US" sz="1200" i="1">
                        <a:latin typeface="Cambria Math" panose="02040503050406030204" pitchFamily="18" charset="0"/>
                      </a:rPr>
                      <m:t>+</m:t>
                    </m:r>
                    <m:r>
                      <a:rPr lang="en-US" sz="1200" b="0" i="1">
                        <a:latin typeface="Cambria Math" panose="02040503050406030204" pitchFamily="18" charset="0"/>
                      </a:rPr>
                      <m:t>𝐷𝑒𝑝</m:t>
                    </m:r>
                    <m:r>
                      <a:rPr lang="en-US" sz="1200" b="0" i="1">
                        <a:latin typeface="Cambria Math" panose="02040503050406030204" pitchFamily="18" charset="0"/>
                      </a:rPr>
                      <m:t>∗</m:t>
                    </m:r>
                    <m:r>
                      <a:rPr lang="en-US" sz="1200" b="0" i="1">
                        <a:latin typeface="Cambria Math" panose="02040503050406030204" pitchFamily="18" charset="0"/>
                      </a:rPr>
                      <m:t>𝑡</m:t>
                    </m:r>
                    <m:r>
                      <a:rPr lang="en-US" sz="1200" b="0" i="1">
                        <a:latin typeface="Cambria Math" panose="02040503050406030204" pitchFamily="18" charset="0"/>
                      </a:rPr>
                      <m:t>−</m:t>
                    </m:r>
                    <m:r>
                      <a:rPr lang="en-US" sz="1200" b="0" i="1">
                        <a:latin typeface="Cambria Math" panose="02040503050406030204" pitchFamily="18" charset="0"/>
                      </a:rPr>
                      <m:t>𝐹𝐶𝐼𝑛𝑣</m:t>
                    </m:r>
                    <m:r>
                      <a:rPr lang="en-US" sz="1200" b="0" i="1">
                        <a:latin typeface="Cambria Math" panose="02040503050406030204" pitchFamily="18" charset="0"/>
                      </a:rPr>
                      <m:t>−</m:t>
                    </m:r>
                    <m:r>
                      <a:rPr lang="en-US" sz="1200" b="0" i="1">
                        <a:latin typeface="Cambria Math" panose="02040503050406030204" pitchFamily="18" charset="0"/>
                      </a:rPr>
                      <m:t>𝑊𝐶𝐼𝑛𝑣</m:t>
                    </m:r>
                  </m:oMath>
                </m:oMathPara>
              </a14:m>
              <a:endParaRPr lang="en-US" sz="1200"/>
            </a:p>
          </xdr:txBody>
        </xdr:sp>
      </mc:Choice>
      <mc:Fallback>
        <xdr:sp macro="" textlink="">
          <xdr:nvSpPr>
            <xdr:cNvPr id="14" name="TextBox 11">
              <a:extLst>
                <a:ext uri="{FF2B5EF4-FFF2-40B4-BE49-F238E27FC236}">
                  <a16:creationId xmlns:a16="http://schemas.microsoft.com/office/drawing/2014/main" id="{777FF1B8-8365-7C42-A4C2-B88801D02AB0}"/>
                </a:ext>
              </a:extLst>
            </xdr:cNvPr>
            <xdr:cNvSpPr txBox="1"/>
          </xdr:nvSpPr>
          <xdr:spPr>
            <a:xfrm>
              <a:off x="4936360" y="14109262"/>
              <a:ext cx="4200919" cy="204820"/>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sz="1200" b="0" i="0">
                  <a:latin typeface="Cambria Math" panose="02040503050406030204" pitchFamily="18" charset="0"/>
                </a:rPr>
                <a:t>𝐹𝐶𝐹𝐹=</a:t>
              </a:r>
              <a:r>
                <a:rPr lang="en-US" sz="1200" i="0">
                  <a:latin typeface="Cambria Math" panose="02040503050406030204" pitchFamily="18" charset="0"/>
                </a:rPr>
                <a:t>𝐸𝐵𝐼𝑇</a:t>
              </a:r>
              <a:r>
                <a:rPr lang="en-US" sz="1200" b="0" i="0">
                  <a:latin typeface="Cambria Math" panose="02040503050406030204" pitchFamily="18" charset="0"/>
                </a:rPr>
                <a:t>𝐷𝐴</a:t>
              </a:r>
              <a:r>
                <a:rPr lang="en-US" sz="1200" i="0">
                  <a:latin typeface="Cambria Math" panose="02040503050406030204" pitchFamily="18" charset="0"/>
                </a:rPr>
                <a:t>(1−𝑡)+</a:t>
              </a:r>
              <a:r>
                <a:rPr lang="en-US" sz="1200" b="0" i="0">
                  <a:latin typeface="Cambria Math" panose="02040503050406030204" pitchFamily="18" charset="0"/>
                </a:rPr>
                <a:t>𝐷𝑒𝑝∗𝑡−𝐹𝐶𝐼𝑛𝑣−𝑊𝐶𝐼𝑛𝑣</a:t>
              </a:r>
              <a:endParaRPr lang="en-US" sz="1200"/>
            </a:p>
          </xdr:txBody>
        </xdr:sp>
      </mc:Fallback>
    </mc:AlternateContent>
    <xdr:clientData/>
  </xdr:twoCellAnchor>
  <xdr:twoCellAnchor editAs="oneCell">
    <xdr:from>
      <xdr:col>0</xdr:col>
      <xdr:colOff>0</xdr:colOff>
      <xdr:row>103</xdr:row>
      <xdr:rowOff>3963</xdr:rowOff>
    </xdr:from>
    <xdr:to>
      <xdr:col>6</xdr:col>
      <xdr:colOff>108610</xdr:colOff>
      <xdr:row>122</xdr:row>
      <xdr:rowOff>101600</xdr:rowOff>
    </xdr:to>
    <xdr:pic>
      <xdr:nvPicPr>
        <xdr:cNvPr id="15" name="Picture 14">
          <a:extLst>
            <a:ext uri="{FF2B5EF4-FFF2-40B4-BE49-F238E27FC236}">
              <a16:creationId xmlns:a16="http://schemas.microsoft.com/office/drawing/2014/main" id="{EB6E7C44-4F23-D44A-88F4-DDE73C7FF6D6}"/>
            </a:ext>
          </a:extLst>
        </xdr:cNvPr>
        <xdr:cNvPicPr>
          <a:picLocks noChangeAspect="1"/>
        </xdr:cNvPicPr>
      </xdr:nvPicPr>
      <xdr:blipFill>
        <a:blip xmlns:r="http://schemas.openxmlformats.org/officeDocument/2006/relationships" r:embed="rId4"/>
        <a:stretch>
          <a:fillRect/>
        </a:stretch>
      </xdr:blipFill>
      <xdr:spPr>
        <a:xfrm>
          <a:off x="0" y="22254363"/>
          <a:ext cx="6280810" cy="3958437"/>
        </a:xfrm>
        <a:prstGeom prst="rect">
          <a:avLst/>
        </a:prstGeom>
      </xdr:spPr>
    </xdr:pic>
    <xdr:clientData/>
  </xdr:twoCellAnchor>
  <xdr:twoCellAnchor editAs="oneCell">
    <xdr:from>
      <xdr:col>6</xdr:col>
      <xdr:colOff>0</xdr:colOff>
      <xdr:row>103</xdr:row>
      <xdr:rowOff>0</xdr:rowOff>
    </xdr:from>
    <xdr:to>
      <xdr:col>11</xdr:col>
      <xdr:colOff>685800</xdr:colOff>
      <xdr:row>122</xdr:row>
      <xdr:rowOff>119635</xdr:rowOff>
    </xdr:to>
    <xdr:pic>
      <xdr:nvPicPr>
        <xdr:cNvPr id="16" name="Picture 15">
          <a:extLst>
            <a:ext uri="{FF2B5EF4-FFF2-40B4-BE49-F238E27FC236}">
              <a16:creationId xmlns:a16="http://schemas.microsoft.com/office/drawing/2014/main" id="{DDFDC8B9-654E-CA31-46C8-FAEC9E2D65CF}"/>
            </a:ext>
          </a:extLst>
        </xdr:cNvPr>
        <xdr:cNvPicPr>
          <a:picLocks noChangeAspect="1"/>
        </xdr:cNvPicPr>
      </xdr:nvPicPr>
      <xdr:blipFill>
        <a:blip xmlns:r="http://schemas.openxmlformats.org/officeDocument/2006/relationships" r:embed="rId5"/>
        <a:stretch>
          <a:fillRect/>
        </a:stretch>
      </xdr:blipFill>
      <xdr:spPr>
        <a:xfrm>
          <a:off x="6172200" y="22250400"/>
          <a:ext cx="6134100" cy="3980435"/>
        </a:xfrm>
        <a:prstGeom prst="rect">
          <a:avLst/>
        </a:prstGeom>
      </xdr:spPr>
    </xdr:pic>
    <xdr:clientData/>
  </xdr:twoCellAnchor>
  <xdr:twoCellAnchor editAs="oneCell">
    <xdr:from>
      <xdr:col>0</xdr:col>
      <xdr:colOff>0</xdr:colOff>
      <xdr:row>126</xdr:row>
      <xdr:rowOff>38100</xdr:rowOff>
    </xdr:from>
    <xdr:to>
      <xdr:col>3</xdr:col>
      <xdr:colOff>266700</xdr:colOff>
      <xdr:row>127</xdr:row>
      <xdr:rowOff>114300</xdr:rowOff>
    </xdr:to>
    <xdr:pic>
      <xdr:nvPicPr>
        <xdr:cNvPr id="17" name="Picture 16">
          <a:extLst>
            <a:ext uri="{FF2B5EF4-FFF2-40B4-BE49-F238E27FC236}">
              <a16:creationId xmlns:a16="http://schemas.microsoft.com/office/drawing/2014/main" id="{5BC6967C-0C90-134A-AA73-DA88429859FA}"/>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0" y="26962100"/>
          <a:ext cx="3962400" cy="27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127</xdr:row>
      <xdr:rowOff>114300</xdr:rowOff>
    </xdr:from>
    <xdr:to>
      <xdr:col>3</xdr:col>
      <xdr:colOff>355600</xdr:colOff>
      <xdr:row>128</xdr:row>
      <xdr:rowOff>165100</xdr:rowOff>
    </xdr:to>
    <xdr:pic>
      <xdr:nvPicPr>
        <xdr:cNvPr id="18" name="Picture 17">
          <a:extLst>
            <a:ext uri="{FF2B5EF4-FFF2-40B4-BE49-F238E27FC236}">
              <a16:creationId xmlns:a16="http://schemas.microsoft.com/office/drawing/2014/main" id="{DA614425-7CDD-4EBD-EFE0-9BDBC2F2C8D0}"/>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0" y="27241500"/>
          <a:ext cx="40513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129</xdr:row>
      <xdr:rowOff>0</xdr:rowOff>
    </xdr:from>
    <xdr:to>
      <xdr:col>3</xdr:col>
      <xdr:colOff>127000</xdr:colOff>
      <xdr:row>130</xdr:row>
      <xdr:rowOff>50800</xdr:rowOff>
    </xdr:to>
    <xdr:pic>
      <xdr:nvPicPr>
        <xdr:cNvPr id="19" name="Picture 18">
          <a:extLst>
            <a:ext uri="{FF2B5EF4-FFF2-40B4-BE49-F238E27FC236}">
              <a16:creationId xmlns:a16="http://schemas.microsoft.com/office/drawing/2014/main" id="{36E4E883-7114-F7EA-8C1A-A2536FF75467}"/>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0" y="27533600"/>
          <a:ext cx="38227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130</xdr:row>
      <xdr:rowOff>50800</xdr:rowOff>
    </xdr:from>
    <xdr:to>
      <xdr:col>4</xdr:col>
      <xdr:colOff>762000</xdr:colOff>
      <xdr:row>131</xdr:row>
      <xdr:rowOff>101600</xdr:rowOff>
    </xdr:to>
    <xdr:pic>
      <xdr:nvPicPr>
        <xdr:cNvPr id="20" name="Picture 19">
          <a:extLst>
            <a:ext uri="{FF2B5EF4-FFF2-40B4-BE49-F238E27FC236}">
              <a16:creationId xmlns:a16="http://schemas.microsoft.com/office/drawing/2014/main" id="{A9EBAFE8-A97B-0B1A-377F-EB7C2010747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0" y="27787600"/>
          <a:ext cx="52832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131</xdr:row>
      <xdr:rowOff>127000</xdr:rowOff>
    </xdr:from>
    <xdr:to>
      <xdr:col>4</xdr:col>
      <xdr:colOff>622300</xdr:colOff>
      <xdr:row>132</xdr:row>
      <xdr:rowOff>177800</xdr:rowOff>
    </xdr:to>
    <xdr:pic>
      <xdr:nvPicPr>
        <xdr:cNvPr id="21" name="Picture 20">
          <a:extLst>
            <a:ext uri="{FF2B5EF4-FFF2-40B4-BE49-F238E27FC236}">
              <a16:creationId xmlns:a16="http://schemas.microsoft.com/office/drawing/2014/main" id="{880A2640-ACE7-1C5C-B57E-B2A6F0652CD6}"/>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0" y="28067000"/>
          <a:ext cx="51435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132</xdr:row>
      <xdr:rowOff>177800</xdr:rowOff>
    </xdr:from>
    <xdr:to>
      <xdr:col>4</xdr:col>
      <xdr:colOff>800100</xdr:colOff>
      <xdr:row>134</xdr:row>
      <xdr:rowOff>50800</xdr:rowOff>
    </xdr:to>
    <xdr:pic>
      <xdr:nvPicPr>
        <xdr:cNvPr id="22" name="Picture 21">
          <a:extLst>
            <a:ext uri="{FF2B5EF4-FFF2-40B4-BE49-F238E27FC236}">
              <a16:creationId xmlns:a16="http://schemas.microsoft.com/office/drawing/2014/main" id="{2DD0C10B-79E2-9FCA-515C-0664DE19026D}"/>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0" y="28321000"/>
          <a:ext cx="5321300" cy="27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134</xdr:row>
      <xdr:rowOff>63500</xdr:rowOff>
    </xdr:from>
    <xdr:to>
      <xdr:col>4</xdr:col>
      <xdr:colOff>660400</xdr:colOff>
      <xdr:row>135</xdr:row>
      <xdr:rowOff>139700</xdr:rowOff>
    </xdr:to>
    <xdr:pic>
      <xdr:nvPicPr>
        <xdr:cNvPr id="23" name="Picture 22">
          <a:extLst>
            <a:ext uri="{FF2B5EF4-FFF2-40B4-BE49-F238E27FC236}">
              <a16:creationId xmlns:a16="http://schemas.microsoft.com/office/drawing/2014/main" id="{455FE001-4581-421B-160E-A5D58917D283}"/>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0" y="28613100"/>
          <a:ext cx="5181600" cy="2794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1</xdr:col>
      <xdr:colOff>495300</xdr:colOff>
      <xdr:row>163</xdr:row>
      <xdr:rowOff>53340</xdr:rowOff>
    </xdr:from>
    <xdr:ext cx="1066189" cy="346377"/>
    <mc:AlternateContent xmlns:mc="http://schemas.openxmlformats.org/markup-compatibility/2006">
      <mc:Choice xmlns:a14="http://schemas.microsoft.com/office/drawing/2010/main" Requires="a14">
        <xdr:sp macro="" textlink="">
          <xdr:nvSpPr>
            <xdr:cNvPr id="24" name="CuadroTexto 13">
              <a:extLst>
                <a:ext uri="{FF2B5EF4-FFF2-40B4-BE49-F238E27FC236}">
                  <a16:creationId xmlns:a16="http://schemas.microsoft.com/office/drawing/2014/main" id="{C3B1F838-CB80-604E-94EC-2CD23CC212BF}"/>
                </a:ext>
              </a:extLst>
            </xdr:cNvPr>
            <xdr:cNvSpPr txBox="1"/>
          </xdr:nvSpPr>
          <xdr:spPr>
            <a:xfrm>
              <a:off x="1371600" y="4904740"/>
              <a:ext cx="106618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es-AR" sz="1100" b="0" i="1">
                            <a:solidFill>
                              <a:schemeClr val="tx1"/>
                            </a:solidFill>
                            <a:effectLst/>
                            <a:latin typeface="Cambria Math" panose="02040503050406030204" pitchFamily="18" charset="0"/>
                            <a:ea typeface="+mn-ea"/>
                            <a:cs typeface="+mn-cs"/>
                          </a:rPr>
                        </m:ctrlPr>
                      </m:fPr>
                      <m:num>
                        <m:r>
                          <a:rPr lang="en-US" sz="1100" b="0" i="1">
                            <a:solidFill>
                              <a:schemeClr val="tx1"/>
                            </a:solidFill>
                            <a:effectLst/>
                            <a:latin typeface="Cambria Math" panose="02040503050406030204" pitchFamily="18" charset="0"/>
                            <a:ea typeface="+mn-ea"/>
                            <a:cs typeface="+mn-cs"/>
                          </a:rPr>
                          <m:t>700(1+0.05)</m:t>
                        </m:r>
                      </m:num>
                      <m:den>
                        <m:d>
                          <m:dPr>
                            <m:ctrlPr>
                              <a:rPr lang="es-AR" sz="1100" b="0" i="1">
                                <a:solidFill>
                                  <a:schemeClr val="tx1"/>
                                </a:solidFill>
                                <a:effectLst/>
                                <a:latin typeface="Cambria Math" panose="02040503050406030204" pitchFamily="18" charset="0"/>
                                <a:ea typeface="+mn-ea"/>
                                <a:cs typeface="+mn-cs"/>
                              </a:rPr>
                            </m:ctrlPr>
                          </m:dPr>
                          <m:e>
                            <m:r>
                              <a:rPr lang="es-AR" sz="1100" b="0" i="1">
                                <a:solidFill>
                                  <a:schemeClr val="tx1"/>
                                </a:solidFill>
                                <a:effectLst/>
                                <a:latin typeface="Cambria Math" panose="02040503050406030204" pitchFamily="18" charset="0"/>
                                <a:ea typeface="+mn-ea"/>
                                <a:cs typeface="+mn-cs"/>
                              </a:rPr>
                              <m:t>0,1</m:t>
                            </m:r>
                            <m:r>
                              <a:rPr lang="en-US" sz="1100" b="0" i="1">
                                <a:solidFill>
                                  <a:schemeClr val="tx1"/>
                                </a:solidFill>
                                <a:effectLst/>
                                <a:latin typeface="Cambria Math" panose="02040503050406030204" pitchFamily="18" charset="0"/>
                                <a:ea typeface="+mn-ea"/>
                                <a:cs typeface="+mn-cs"/>
                              </a:rPr>
                              <m:t>02</m:t>
                            </m:r>
                            <m:r>
                              <a:rPr lang="es-AR" sz="1100" b="0" i="1">
                                <a:solidFill>
                                  <a:schemeClr val="tx1"/>
                                </a:solidFill>
                                <a:effectLst/>
                                <a:latin typeface="Cambria Math" panose="02040503050406030204" pitchFamily="18" charset="0"/>
                                <a:ea typeface="+mn-ea"/>
                                <a:cs typeface="+mn-cs"/>
                              </a:rPr>
                              <m:t>−0,05</m:t>
                            </m:r>
                          </m:e>
                        </m:d>
                      </m:den>
                    </m:f>
                    <m:r>
                      <a:rPr lang="es-AR" sz="1100" b="0" i="0">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24" name="CuadroTexto 13">
              <a:extLst>
                <a:ext uri="{FF2B5EF4-FFF2-40B4-BE49-F238E27FC236}">
                  <a16:creationId xmlns:a16="http://schemas.microsoft.com/office/drawing/2014/main" id="{C3B1F838-CB80-604E-94EC-2CD23CC212BF}"/>
                </a:ext>
              </a:extLst>
            </xdr:cNvPr>
            <xdr:cNvSpPr txBox="1"/>
          </xdr:nvSpPr>
          <xdr:spPr>
            <a:xfrm>
              <a:off x="1371600" y="4904740"/>
              <a:ext cx="1066189" cy="34637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a:t>
              </a:r>
              <a:r>
                <a:rPr lang="en-US" sz="1100" b="0" i="0">
                  <a:solidFill>
                    <a:schemeClr val="tx1"/>
                  </a:solidFill>
                  <a:effectLst/>
                  <a:latin typeface="Cambria Math" panose="02040503050406030204" pitchFamily="18" charset="0"/>
                  <a:ea typeface="+mn-ea"/>
                  <a:cs typeface="+mn-cs"/>
                </a:rPr>
                <a:t>700(1+0.05)</a:t>
              </a:r>
              <a:r>
                <a:rPr lang="es-AR" sz="1100" b="0" i="0">
                  <a:solidFill>
                    <a:schemeClr val="tx1"/>
                  </a:solidFill>
                  <a:effectLst/>
                  <a:latin typeface="Cambria Math" panose="02040503050406030204" pitchFamily="18" charset="0"/>
                  <a:ea typeface="+mn-ea"/>
                  <a:cs typeface="+mn-cs"/>
                </a:rPr>
                <a:t>)/((0,1</a:t>
              </a:r>
              <a:r>
                <a:rPr lang="en-US" sz="1100" b="0" i="0">
                  <a:solidFill>
                    <a:schemeClr val="tx1"/>
                  </a:solidFill>
                  <a:effectLst/>
                  <a:latin typeface="Cambria Math" panose="02040503050406030204" pitchFamily="18" charset="0"/>
                  <a:ea typeface="+mn-ea"/>
                  <a:cs typeface="+mn-cs"/>
                </a:rPr>
                <a:t>02</a:t>
              </a:r>
              <a:r>
                <a:rPr lang="es-AR" sz="1100" b="0" i="0">
                  <a:solidFill>
                    <a:schemeClr val="tx1"/>
                  </a:solidFill>
                  <a:effectLst/>
                  <a:latin typeface="Cambria Math" panose="02040503050406030204" pitchFamily="18" charset="0"/>
                  <a:ea typeface="+mn-ea"/>
                  <a:cs typeface="+mn-cs"/>
                </a:rPr>
                <a:t>−0,05) )=</a:t>
              </a:r>
              <a:endParaRPr lang="es-AR" sz="1100"/>
            </a:p>
          </xdr:txBody>
        </xdr:sp>
      </mc:Fallback>
    </mc:AlternateContent>
    <xdr:clientData/>
  </xdr:oneCellAnchor>
  <xdr:oneCellAnchor>
    <xdr:from>
      <xdr:col>1</xdr:col>
      <xdr:colOff>285750</xdr:colOff>
      <xdr:row>171</xdr:row>
      <xdr:rowOff>179070</xdr:rowOff>
    </xdr:from>
    <xdr:ext cx="1327991" cy="172227"/>
    <mc:AlternateContent xmlns:mc="http://schemas.openxmlformats.org/markup-compatibility/2006">
      <mc:Choice xmlns:a14="http://schemas.microsoft.com/office/drawing/2010/main" Requires="a14">
        <xdr:sp macro="" textlink="">
          <xdr:nvSpPr>
            <xdr:cNvPr id="25" name="CuadroTexto 15">
              <a:extLst>
                <a:ext uri="{FF2B5EF4-FFF2-40B4-BE49-F238E27FC236}">
                  <a16:creationId xmlns:a16="http://schemas.microsoft.com/office/drawing/2014/main" id="{EEB8FD91-B528-7342-B95D-5B9AFDE8FF91}"/>
                </a:ext>
              </a:extLst>
            </xdr:cNvPr>
            <xdr:cNvSpPr txBox="1"/>
          </xdr:nvSpPr>
          <xdr:spPr>
            <a:xfrm>
              <a:off x="1162050" y="6567170"/>
              <a:ext cx="13279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s-AR" sz="1100" b="0" i="0">
                        <a:solidFill>
                          <a:schemeClr val="tx1"/>
                        </a:solidFill>
                        <a:effectLst/>
                        <a:latin typeface="Cambria Math" panose="02040503050406030204" pitchFamily="18" charset="0"/>
                        <a:ea typeface="+mn-ea"/>
                        <a:cs typeface="+mn-cs"/>
                      </a:rPr>
                      <m:t>=</m:t>
                    </m:r>
                    <m:r>
                      <a:rPr lang="en-US" sz="1100" b="0" i="0">
                        <a:solidFill>
                          <a:schemeClr val="tx1"/>
                        </a:solidFill>
                        <a:effectLst/>
                        <a:latin typeface="Cambria Math" panose="02040503050406030204" pitchFamily="18" charset="0"/>
                        <a:ea typeface="+mn-ea"/>
                        <a:cs typeface="+mn-cs"/>
                      </a:rPr>
                      <m:t>14.134.6−2200</m:t>
                    </m:r>
                    <m:r>
                      <a:rPr lang="es-AR" sz="1100" b="0" i="0">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25" name="CuadroTexto 15">
              <a:extLst>
                <a:ext uri="{FF2B5EF4-FFF2-40B4-BE49-F238E27FC236}">
                  <a16:creationId xmlns:a16="http://schemas.microsoft.com/office/drawing/2014/main" id="{EEB8FD91-B528-7342-B95D-5B9AFDE8FF91}"/>
                </a:ext>
              </a:extLst>
            </xdr:cNvPr>
            <xdr:cNvSpPr txBox="1"/>
          </xdr:nvSpPr>
          <xdr:spPr>
            <a:xfrm>
              <a:off x="1162050" y="6567170"/>
              <a:ext cx="1327991"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a:t>
              </a:r>
              <a:r>
                <a:rPr lang="en-US" sz="1100" b="0" i="0">
                  <a:solidFill>
                    <a:schemeClr val="tx1"/>
                  </a:solidFill>
                  <a:effectLst/>
                  <a:latin typeface="Cambria Math" panose="02040503050406030204" pitchFamily="18" charset="0"/>
                  <a:ea typeface="+mn-ea"/>
                  <a:cs typeface="+mn-cs"/>
                </a:rPr>
                <a:t>14.134.6−2200</a:t>
              </a:r>
              <a:r>
                <a:rPr lang="es-AR" sz="1100" b="0" i="0">
                  <a:solidFill>
                    <a:schemeClr val="tx1"/>
                  </a:solidFill>
                  <a:effectLst/>
                  <a:latin typeface="Cambria Math" panose="02040503050406030204" pitchFamily="18" charset="0"/>
                  <a:ea typeface="+mn-ea"/>
                  <a:cs typeface="+mn-cs"/>
                </a:rPr>
                <a:t>=</a:t>
              </a:r>
              <a:endParaRPr lang="es-AR" sz="1100"/>
            </a:p>
          </xdr:txBody>
        </xdr:sp>
      </mc:Fallback>
    </mc:AlternateContent>
    <xdr:clientData/>
  </xdr:oneCellAnchor>
  <xdr:twoCellAnchor>
    <xdr:from>
      <xdr:col>12</xdr:col>
      <xdr:colOff>398145</xdr:colOff>
      <xdr:row>162</xdr:row>
      <xdr:rowOff>123825</xdr:rowOff>
    </xdr:from>
    <xdr:to>
      <xdr:col>16</xdr:col>
      <xdr:colOff>263070</xdr:colOff>
      <xdr:row>164</xdr:row>
      <xdr:rowOff>110982</xdr:rowOff>
    </xdr:to>
    <mc:AlternateContent xmlns:mc="http://schemas.openxmlformats.org/markup-compatibility/2006">
      <mc:Choice xmlns:a14="http://schemas.microsoft.com/office/drawing/2010/main" Requires="a14">
        <xdr:sp macro="" textlink="">
          <xdr:nvSpPr>
            <xdr:cNvPr id="26" name="3 CuadroTexto">
              <a:extLst>
                <a:ext uri="{FF2B5EF4-FFF2-40B4-BE49-F238E27FC236}">
                  <a16:creationId xmlns:a16="http://schemas.microsoft.com/office/drawing/2014/main" id="{7A707207-D24F-3B49-B536-CF25D1D98A0A}"/>
                </a:ext>
              </a:extLst>
            </xdr:cNvPr>
            <xdr:cNvSpPr txBox="1"/>
          </xdr:nvSpPr>
          <xdr:spPr>
            <a:xfrm>
              <a:off x="11802745" y="4784725"/>
              <a:ext cx="3370125" cy="368157"/>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14:m>
                <m:oMath xmlns:m="http://schemas.openxmlformats.org/officeDocument/2006/math">
                  <m:r>
                    <m:rPr>
                      <m:sty m:val="p"/>
                    </m:rPr>
                    <a:rPr lang="es-AR" sz="1100">
                      <a:latin typeface="Cambria Math"/>
                    </a:rPr>
                    <m:t>F</m:t>
                  </m:r>
                  <m:r>
                    <m:rPr>
                      <m:sty m:val="p"/>
                    </m:rPr>
                    <a:rPr lang="es-AR" sz="1100" b="0" i="0">
                      <a:latin typeface="Cambria Math"/>
                    </a:rPr>
                    <m:t>irm</m:t>
                  </m:r>
                  <m:r>
                    <a:rPr lang="es-AR" sz="1100" b="0" i="0">
                      <a:latin typeface="Cambria Math"/>
                    </a:rPr>
                    <m:t> </m:t>
                  </m:r>
                  <m:r>
                    <m:rPr>
                      <m:sty m:val="p"/>
                    </m:rPr>
                    <a:rPr lang="es-AR" sz="1100" b="0" i="0">
                      <a:latin typeface="Cambria Math"/>
                    </a:rPr>
                    <m:t>Value</m:t>
                  </m:r>
                  <m:r>
                    <a:rPr lang="es-AR" sz="1100">
                      <a:latin typeface="Cambria Math"/>
                    </a:rPr>
                    <m:t>=</m:t>
                  </m:r>
                </m:oMath>
              </a14:m>
              <a:r>
                <a:rPr lang="es-AR" sz="1100"/>
                <a:t> </a:t>
              </a:r>
              <a14:m>
                <m:oMath xmlns:m="http://schemas.openxmlformats.org/officeDocument/2006/math">
                  <m:f>
                    <m:fPr>
                      <m:ctrlPr>
                        <a:rPr lang="es-AR" sz="1100" i="1">
                          <a:latin typeface="Cambria Math" panose="02040503050406030204" pitchFamily="18" charset="0"/>
                        </a:rPr>
                      </m:ctrlPr>
                    </m:fPr>
                    <m:num>
                      <m:sSub>
                        <m:sSubPr>
                          <m:ctrlPr>
                            <a:rPr lang="es-AR" sz="1100" i="1">
                              <a:latin typeface="Cambria Math" panose="02040503050406030204" pitchFamily="18" charset="0"/>
                            </a:rPr>
                          </m:ctrlPr>
                        </m:sSubPr>
                        <m:e>
                          <m:r>
                            <a:rPr lang="es-AR" sz="1100">
                              <a:latin typeface="Cambria Math"/>
                            </a:rPr>
                            <m:t>𝐹𝐶𝐹𝐹</m:t>
                          </m:r>
                        </m:e>
                        <m:sub>
                          <m:r>
                            <a:rPr lang="en-US" sz="1100" b="0" i="1">
                              <a:latin typeface="Cambria Math" panose="02040503050406030204" pitchFamily="18" charset="0"/>
                            </a:rPr>
                            <m:t>1</m:t>
                          </m:r>
                        </m:sub>
                      </m:sSub>
                    </m:num>
                    <m:den>
                      <m:r>
                        <a:rPr lang="en-US" sz="1100" b="0" i="1">
                          <a:latin typeface="Cambria Math" panose="02040503050406030204" pitchFamily="18" charset="0"/>
                        </a:rPr>
                        <m:t>𝑊𝐴𝐶𝐶</m:t>
                      </m:r>
                      <m:r>
                        <a:rPr lang="en-US" sz="1100" b="0" i="1">
                          <a:latin typeface="Cambria Math" panose="02040503050406030204" pitchFamily="18" charset="0"/>
                        </a:rPr>
                        <m:t>−</m:t>
                      </m:r>
                      <m:r>
                        <a:rPr lang="en-US" sz="1100" b="0" i="1">
                          <a:latin typeface="Cambria Math" panose="02040503050406030204" pitchFamily="18" charset="0"/>
                        </a:rPr>
                        <m:t>𝑔</m:t>
                      </m:r>
                    </m:den>
                  </m:f>
                </m:oMath>
              </a14:m>
              <a:endParaRPr lang="es-AR" sz="1100"/>
            </a:p>
          </xdr:txBody>
        </xdr:sp>
      </mc:Choice>
      <mc:Fallback>
        <xdr:sp macro="" textlink="">
          <xdr:nvSpPr>
            <xdr:cNvPr id="26" name="3 CuadroTexto">
              <a:extLst>
                <a:ext uri="{FF2B5EF4-FFF2-40B4-BE49-F238E27FC236}">
                  <a16:creationId xmlns:a16="http://schemas.microsoft.com/office/drawing/2014/main" id="{7A707207-D24F-3B49-B536-CF25D1D98A0A}"/>
                </a:ext>
              </a:extLst>
            </xdr:cNvPr>
            <xdr:cNvSpPr txBox="1"/>
          </xdr:nvSpPr>
          <xdr:spPr>
            <a:xfrm>
              <a:off x="11802745" y="4784725"/>
              <a:ext cx="3370125" cy="368157"/>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s-AR" sz="1100" i="0">
                  <a:latin typeface="Cambria Math"/>
                </a:rPr>
                <a:t>F</a:t>
              </a:r>
              <a:r>
                <a:rPr lang="es-AR" sz="1100" b="0" i="0">
                  <a:latin typeface="Cambria Math"/>
                </a:rPr>
                <a:t>irm Value</a:t>
              </a:r>
              <a:r>
                <a:rPr lang="es-AR" sz="1100" i="0">
                  <a:latin typeface="Cambria Math"/>
                </a:rPr>
                <a:t>=</a:t>
              </a:r>
              <a:r>
                <a:rPr lang="es-AR" sz="1100"/>
                <a:t> </a:t>
              </a:r>
              <a:r>
                <a:rPr lang="es-AR" sz="1100" i="0">
                  <a:latin typeface="Cambria Math" panose="02040503050406030204" pitchFamily="18" charset="0"/>
                </a:rPr>
                <a:t>〖</a:t>
              </a:r>
              <a:r>
                <a:rPr lang="es-AR" sz="1100" i="0">
                  <a:latin typeface="Cambria Math"/>
                </a:rPr>
                <a:t>𝐹𝐶𝐹𝐹</a:t>
              </a:r>
              <a:r>
                <a:rPr lang="es-AR" sz="1100" i="0">
                  <a:latin typeface="Cambria Math" panose="02040503050406030204" pitchFamily="18" charset="0"/>
                </a:rPr>
                <a:t>〗_</a:t>
              </a:r>
              <a:r>
                <a:rPr lang="en-US" sz="1100" b="0" i="0">
                  <a:latin typeface="Cambria Math" panose="02040503050406030204" pitchFamily="18" charset="0"/>
                </a:rPr>
                <a:t>1</a:t>
              </a:r>
              <a:r>
                <a:rPr lang="es-AR" sz="1100" b="0" i="0">
                  <a:latin typeface="Cambria Math" panose="02040503050406030204" pitchFamily="18" charset="0"/>
                </a:rPr>
                <a:t>/(</a:t>
              </a:r>
              <a:r>
                <a:rPr lang="en-US" sz="1100" b="0" i="0">
                  <a:latin typeface="Cambria Math" panose="02040503050406030204" pitchFamily="18" charset="0"/>
                </a:rPr>
                <a:t>𝑊𝐴𝐶𝐶−𝑔</a:t>
              </a:r>
              <a:r>
                <a:rPr lang="es-AR" sz="1100" b="0" i="0">
                  <a:latin typeface="Cambria Math" panose="02040503050406030204" pitchFamily="18" charset="0"/>
                </a:rPr>
                <a:t>)</a:t>
              </a:r>
              <a:endParaRPr lang="es-AR" sz="1100"/>
            </a:p>
          </xdr:txBody>
        </xdr:sp>
      </mc:Fallback>
    </mc:AlternateContent>
    <xdr:clientData/>
  </xdr:twoCellAnchor>
  <xdr:twoCellAnchor>
    <xdr:from>
      <xdr:col>12</xdr:col>
      <xdr:colOff>198120</xdr:colOff>
      <xdr:row>154</xdr:row>
      <xdr:rowOff>123825</xdr:rowOff>
    </xdr:from>
    <xdr:to>
      <xdr:col>16</xdr:col>
      <xdr:colOff>632357</xdr:colOff>
      <xdr:row>155</xdr:row>
      <xdr:rowOff>123825</xdr:rowOff>
    </xdr:to>
    <mc:AlternateContent xmlns:mc="http://schemas.openxmlformats.org/markup-compatibility/2006">
      <mc:Choice xmlns:a14="http://schemas.microsoft.com/office/drawing/2010/main" Requires="a14">
        <xdr:sp macro="" textlink="">
          <xdr:nvSpPr>
            <xdr:cNvPr id="27" name="CuadroTexto 4">
              <a:extLst>
                <a:ext uri="{FF2B5EF4-FFF2-40B4-BE49-F238E27FC236}">
                  <a16:creationId xmlns:a16="http://schemas.microsoft.com/office/drawing/2014/main" id="{E3F50E61-064A-8B4D-8C0A-970CE2F56231}"/>
                </a:ext>
              </a:extLst>
            </xdr:cNvPr>
            <xdr:cNvSpPr txBox="1"/>
          </xdr:nvSpPr>
          <xdr:spPr>
            <a:xfrm>
              <a:off x="11602720" y="3248025"/>
              <a:ext cx="3939437" cy="190500"/>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14:m>
                <m:oMath xmlns:m="http://schemas.openxmlformats.org/officeDocument/2006/math">
                  <m:r>
                    <a:rPr lang="es-AR" sz="1100" b="0" i="1">
                      <a:latin typeface="Cambria Math" panose="02040503050406030204" pitchFamily="18" charset="0"/>
                    </a:rPr>
                    <m:t>𝑊𝐴𝐶𝐶</m:t>
                  </m:r>
                  <m:r>
                    <a:rPr lang="es-AR" sz="1100" b="0" i="1">
                      <a:latin typeface="Cambria Math" panose="02040503050406030204" pitchFamily="18" charset="0"/>
                    </a:rPr>
                    <m:t>=</m:t>
                  </m:r>
                  <m:sSub>
                    <m:sSubPr>
                      <m:ctrlPr>
                        <a:rPr lang="es-AR" sz="1100" b="0" i="1">
                          <a:latin typeface="Cambria Math" panose="02040503050406030204" pitchFamily="18" charset="0"/>
                        </a:rPr>
                      </m:ctrlPr>
                    </m:sSubPr>
                    <m:e>
                      <m:r>
                        <m:rPr>
                          <m:sty m:val="p"/>
                        </m:rPr>
                        <a:rPr lang="el-GR" sz="1100" b="0" i="1">
                          <a:latin typeface="Cambria Math" panose="02040503050406030204" pitchFamily="18" charset="0"/>
                        </a:rPr>
                        <m:t>ω</m:t>
                      </m:r>
                    </m:e>
                    <m:sub>
                      <m:r>
                        <a:rPr lang="es-AR" sz="1100" b="0" i="1">
                          <a:latin typeface="Cambria Math" panose="02040503050406030204" pitchFamily="18" charset="0"/>
                        </a:rPr>
                        <m:t>𝑑</m:t>
                      </m:r>
                    </m:sub>
                  </m:sSub>
                  <m:sSub>
                    <m:sSubPr>
                      <m:ctrlPr>
                        <a:rPr lang="es-AR" sz="1100" b="0" i="1">
                          <a:latin typeface="Cambria Math" panose="02040503050406030204" pitchFamily="18" charset="0"/>
                        </a:rPr>
                      </m:ctrlPr>
                    </m:sSubPr>
                    <m:e>
                      <m:r>
                        <a:rPr lang="es-AR" sz="1100" b="0" i="1">
                          <a:latin typeface="Cambria Math" panose="02040503050406030204" pitchFamily="18" charset="0"/>
                        </a:rPr>
                        <m:t>𝑟</m:t>
                      </m:r>
                    </m:e>
                    <m:sub>
                      <m:r>
                        <a:rPr lang="es-AR" sz="1100" b="0" i="1">
                          <a:latin typeface="Cambria Math" panose="02040503050406030204" pitchFamily="18" charset="0"/>
                        </a:rPr>
                        <m:t>𝑑</m:t>
                      </m:r>
                    </m:sub>
                  </m:sSub>
                  <m:d>
                    <m:dPr>
                      <m:ctrlPr>
                        <a:rPr lang="es-AR" sz="1100" b="0" i="1">
                          <a:latin typeface="Cambria Math" panose="02040503050406030204" pitchFamily="18" charset="0"/>
                        </a:rPr>
                      </m:ctrlPr>
                    </m:dPr>
                    <m:e>
                      <m:r>
                        <a:rPr lang="es-AR" sz="1100" b="0" i="1">
                          <a:latin typeface="Cambria Math" panose="02040503050406030204" pitchFamily="18" charset="0"/>
                        </a:rPr>
                        <m:t>1−</m:t>
                      </m:r>
                      <m:r>
                        <a:rPr lang="es-AR" sz="1100" b="0" i="1">
                          <a:latin typeface="Cambria Math" panose="02040503050406030204" pitchFamily="18" charset="0"/>
                        </a:rPr>
                        <m:t>𝑡</m:t>
                      </m:r>
                    </m:e>
                  </m:d>
                  <m:r>
                    <a:rPr lang="es-AR" sz="1100" b="0" i="1">
                      <a:latin typeface="Cambria Math" panose="02040503050406030204" pitchFamily="18" charset="0"/>
                    </a:rPr>
                    <m:t>+</m:t>
                  </m:r>
                  <m:sSub>
                    <m:sSubPr>
                      <m:ctrlPr>
                        <a:rPr lang="es-AR" sz="1100" i="1">
                          <a:latin typeface="Cambria Math" panose="02040503050406030204" pitchFamily="18" charset="0"/>
                        </a:rPr>
                      </m:ctrlPr>
                    </m:sSubPr>
                    <m:e>
                      <m:r>
                        <m:rPr>
                          <m:sty m:val="p"/>
                        </m:rPr>
                        <a:rPr lang="el-GR" sz="1100" i="1">
                          <a:latin typeface="Cambria Math" panose="02040503050406030204" pitchFamily="18" charset="0"/>
                        </a:rPr>
                        <m:t>ω</m:t>
                      </m:r>
                    </m:e>
                    <m:sub>
                      <m:r>
                        <a:rPr lang="es-AR" sz="1100" b="0" i="1">
                          <a:latin typeface="Cambria Math" panose="02040503050406030204" pitchFamily="18" charset="0"/>
                        </a:rPr>
                        <m:t>𝑝</m:t>
                      </m:r>
                    </m:sub>
                  </m:sSub>
                  <m:sSub>
                    <m:sSubPr>
                      <m:ctrlPr>
                        <a:rPr lang="es-AR" sz="1100" i="1">
                          <a:latin typeface="Cambria Math" panose="02040503050406030204" pitchFamily="18" charset="0"/>
                        </a:rPr>
                      </m:ctrlPr>
                    </m:sSubPr>
                    <m:e>
                      <m:r>
                        <a:rPr lang="es-AR" sz="1100" i="1">
                          <a:latin typeface="Cambria Math" panose="02040503050406030204" pitchFamily="18" charset="0"/>
                        </a:rPr>
                        <m:t>𝑟</m:t>
                      </m:r>
                    </m:e>
                    <m:sub>
                      <m:r>
                        <a:rPr lang="es-AR" sz="1100" b="0" i="1">
                          <a:latin typeface="Cambria Math" panose="02040503050406030204" pitchFamily="18" charset="0"/>
                        </a:rPr>
                        <m:t>𝑝</m:t>
                      </m:r>
                    </m:sub>
                  </m:sSub>
                </m:oMath>
              </a14:m>
              <a:r>
                <a:rPr lang="es-AR" sz="1100"/>
                <a:t>+</a:t>
              </a:r>
              <a14:m>
                <m:oMath xmlns:m="http://schemas.openxmlformats.org/officeDocument/2006/math">
                  <m:sSub>
                    <m:sSubPr>
                      <m:ctrlPr>
                        <a:rPr lang="es-AR" sz="1100" i="1">
                          <a:latin typeface="Cambria Math" panose="02040503050406030204" pitchFamily="18" charset="0"/>
                        </a:rPr>
                      </m:ctrlPr>
                    </m:sSubPr>
                    <m:e>
                      <m:r>
                        <m:rPr>
                          <m:sty m:val="p"/>
                        </m:rPr>
                        <a:rPr lang="el-GR" sz="1100" i="1">
                          <a:latin typeface="Cambria Math" panose="02040503050406030204" pitchFamily="18" charset="0"/>
                        </a:rPr>
                        <m:t>ω</m:t>
                      </m:r>
                    </m:e>
                    <m:sub>
                      <m:r>
                        <a:rPr lang="es-AR" sz="1100" b="0" i="1">
                          <a:latin typeface="Cambria Math" panose="02040503050406030204" pitchFamily="18" charset="0"/>
                        </a:rPr>
                        <m:t>𝑒</m:t>
                      </m:r>
                    </m:sub>
                  </m:sSub>
                  <m:sSub>
                    <m:sSubPr>
                      <m:ctrlPr>
                        <a:rPr lang="es-AR" sz="1100" i="1">
                          <a:latin typeface="Cambria Math" panose="02040503050406030204" pitchFamily="18" charset="0"/>
                        </a:rPr>
                      </m:ctrlPr>
                    </m:sSubPr>
                    <m:e>
                      <m:r>
                        <a:rPr lang="es-AR" sz="1100" i="1">
                          <a:latin typeface="Cambria Math" panose="02040503050406030204" pitchFamily="18" charset="0"/>
                        </a:rPr>
                        <m:t>𝑟</m:t>
                      </m:r>
                    </m:e>
                    <m:sub>
                      <m:r>
                        <a:rPr lang="es-AR" sz="1100" b="0" i="1">
                          <a:latin typeface="Cambria Math" panose="02040503050406030204" pitchFamily="18" charset="0"/>
                        </a:rPr>
                        <m:t>𝑒</m:t>
                      </m:r>
                    </m:sub>
                  </m:sSub>
                </m:oMath>
              </a14:m>
              <a:endParaRPr lang="es-AR" sz="1100"/>
            </a:p>
          </xdr:txBody>
        </xdr:sp>
      </mc:Choice>
      <mc:Fallback>
        <xdr:sp macro="" textlink="">
          <xdr:nvSpPr>
            <xdr:cNvPr id="27" name="CuadroTexto 4">
              <a:extLst>
                <a:ext uri="{FF2B5EF4-FFF2-40B4-BE49-F238E27FC236}">
                  <a16:creationId xmlns:a16="http://schemas.microsoft.com/office/drawing/2014/main" id="{E3F50E61-064A-8B4D-8C0A-970CE2F56231}"/>
                </a:ext>
              </a:extLst>
            </xdr:cNvPr>
            <xdr:cNvSpPr txBox="1"/>
          </xdr:nvSpPr>
          <xdr:spPr>
            <a:xfrm>
              <a:off x="11602720" y="3248025"/>
              <a:ext cx="3939437" cy="190500"/>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s-AR" sz="1100" b="0" i="0">
                  <a:latin typeface="Cambria Math" panose="02040503050406030204" pitchFamily="18" charset="0"/>
                </a:rPr>
                <a:t>𝑊𝐴𝐶𝐶=</a:t>
              </a:r>
              <a:r>
                <a:rPr lang="el-GR" sz="1100" b="0" i="0">
                  <a:latin typeface="Cambria Math" panose="02040503050406030204" pitchFamily="18" charset="0"/>
                </a:rPr>
                <a:t>ω</a:t>
              </a:r>
              <a:r>
                <a:rPr lang="es-AR" sz="1100" b="0" i="0">
                  <a:latin typeface="Cambria Math" panose="02040503050406030204" pitchFamily="18" charset="0"/>
                </a:rPr>
                <a:t>_𝑑 𝑟_𝑑 (1−𝑡)+</a:t>
              </a:r>
              <a:r>
                <a:rPr lang="el-GR" sz="1100" i="0">
                  <a:latin typeface="Cambria Math" panose="02040503050406030204" pitchFamily="18" charset="0"/>
                </a:rPr>
                <a:t>ω</a:t>
              </a:r>
              <a:r>
                <a:rPr lang="es-AR" sz="1100" i="0">
                  <a:latin typeface="Cambria Math" panose="02040503050406030204" pitchFamily="18" charset="0"/>
                </a:rPr>
                <a:t>_</a:t>
              </a:r>
              <a:r>
                <a:rPr lang="es-AR" sz="1100" b="0" i="0">
                  <a:latin typeface="Cambria Math" panose="02040503050406030204" pitchFamily="18" charset="0"/>
                </a:rPr>
                <a:t>𝑝 </a:t>
              </a:r>
              <a:r>
                <a:rPr lang="es-AR" sz="1100" i="0">
                  <a:latin typeface="Cambria Math" panose="02040503050406030204" pitchFamily="18" charset="0"/>
                </a:rPr>
                <a:t>𝑟_</a:t>
              </a:r>
              <a:r>
                <a:rPr lang="es-AR" sz="1100" b="0" i="0">
                  <a:latin typeface="Cambria Math" panose="02040503050406030204" pitchFamily="18" charset="0"/>
                </a:rPr>
                <a:t>𝑝</a:t>
              </a:r>
              <a:r>
                <a:rPr lang="es-AR" sz="1100"/>
                <a:t>+</a:t>
              </a:r>
              <a:r>
                <a:rPr lang="el-GR" sz="1100" i="0">
                  <a:latin typeface="Cambria Math" panose="02040503050406030204" pitchFamily="18" charset="0"/>
                </a:rPr>
                <a:t>ω</a:t>
              </a:r>
              <a:r>
                <a:rPr lang="es-AR" sz="1100" i="0">
                  <a:latin typeface="Cambria Math" panose="02040503050406030204" pitchFamily="18" charset="0"/>
                </a:rPr>
                <a:t>_</a:t>
              </a:r>
              <a:r>
                <a:rPr lang="es-AR" sz="1100" b="0" i="0">
                  <a:latin typeface="Cambria Math" panose="02040503050406030204" pitchFamily="18" charset="0"/>
                </a:rPr>
                <a:t>𝑒 </a:t>
              </a:r>
              <a:r>
                <a:rPr lang="es-AR" sz="1100" i="0">
                  <a:latin typeface="Cambria Math" panose="02040503050406030204" pitchFamily="18" charset="0"/>
                </a:rPr>
                <a:t>𝑟_</a:t>
              </a:r>
              <a:r>
                <a:rPr lang="es-AR" sz="1100" b="0" i="0">
                  <a:latin typeface="Cambria Math" panose="02040503050406030204" pitchFamily="18" charset="0"/>
                </a:rPr>
                <a:t>𝑒</a:t>
              </a:r>
              <a:endParaRPr lang="es-AR" sz="1100"/>
            </a:p>
          </xdr:txBody>
        </xdr:sp>
      </mc:Fallback>
    </mc:AlternateContent>
    <xdr:clientData/>
  </xdr:twoCellAnchor>
  <xdr:twoCellAnchor>
    <xdr:from>
      <xdr:col>1</xdr:col>
      <xdr:colOff>476250</xdr:colOff>
      <xdr:row>156</xdr:row>
      <xdr:rowOff>9525</xdr:rowOff>
    </xdr:from>
    <xdr:to>
      <xdr:col>3</xdr:col>
      <xdr:colOff>609600</xdr:colOff>
      <xdr:row>156</xdr:row>
      <xdr:rowOff>181623</xdr:rowOff>
    </xdr:to>
    <mc:AlternateContent xmlns:mc="http://schemas.openxmlformats.org/markup-compatibility/2006">
      <mc:Choice xmlns:a14="http://schemas.microsoft.com/office/drawing/2010/main" Requires="a14">
        <xdr:sp macro="" textlink="">
          <xdr:nvSpPr>
            <xdr:cNvPr id="28" name="CuadroTexto 4">
              <a:extLst>
                <a:ext uri="{FF2B5EF4-FFF2-40B4-BE49-F238E27FC236}">
                  <a16:creationId xmlns:a16="http://schemas.microsoft.com/office/drawing/2014/main" id="{86C1B206-E8BD-214E-9E2B-1CD1FFD11BD4}"/>
                </a:ext>
              </a:extLst>
            </xdr:cNvPr>
            <xdr:cNvSpPr txBox="1"/>
          </xdr:nvSpPr>
          <xdr:spPr>
            <a:xfrm>
              <a:off x="1301750" y="33080325"/>
              <a:ext cx="3003550" cy="17209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a:rPr lang="es-AR" sz="1100" b="0" i="1">
                        <a:latin typeface="Cambria Math" panose="02040503050406030204" pitchFamily="18" charset="0"/>
                      </a:rPr>
                      <m:t>𝑊𝐴𝐶𝐶</m:t>
                    </m:r>
                    <m:r>
                      <a:rPr lang="es-AR" sz="1100" b="0" i="1">
                        <a:latin typeface="Cambria Math" panose="02040503050406030204" pitchFamily="18" charset="0"/>
                      </a:rPr>
                      <m:t>=0.2</m:t>
                    </m:r>
                    <m:d>
                      <m:dPr>
                        <m:ctrlPr>
                          <a:rPr lang="en-US" sz="1100" b="0" i="1">
                            <a:latin typeface="Cambria Math" panose="02040503050406030204" pitchFamily="18" charset="0"/>
                          </a:rPr>
                        </m:ctrlPr>
                      </m:dPr>
                      <m:e>
                        <m:r>
                          <a:rPr lang="en-US" sz="1100" b="0" i="1">
                            <a:latin typeface="Cambria Math" panose="02040503050406030204" pitchFamily="18" charset="0"/>
                          </a:rPr>
                          <m:t>5.7%</m:t>
                        </m:r>
                      </m:e>
                    </m:d>
                    <m:d>
                      <m:dPr>
                        <m:ctrlPr>
                          <a:rPr lang="es-AR" sz="1100" b="0" i="1">
                            <a:latin typeface="Cambria Math" panose="02040503050406030204" pitchFamily="18" charset="0"/>
                          </a:rPr>
                        </m:ctrlPr>
                      </m:dPr>
                      <m:e>
                        <m:r>
                          <a:rPr lang="es-AR" sz="1100" b="0" i="1">
                            <a:latin typeface="Cambria Math" panose="02040503050406030204" pitchFamily="18" charset="0"/>
                          </a:rPr>
                          <m:t>1−</m:t>
                        </m:r>
                        <m:r>
                          <a:rPr lang="en-US" sz="1100" b="0" i="1">
                            <a:latin typeface="Cambria Math" panose="02040503050406030204" pitchFamily="18" charset="0"/>
                          </a:rPr>
                          <m:t>0.3333</m:t>
                        </m:r>
                      </m:e>
                    </m:d>
                    <m:r>
                      <a:rPr lang="es-AR" sz="1100" b="0" i="1">
                        <a:latin typeface="Cambria Math" panose="02040503050406030204" pitchFamily="18" charset="0"/>
                      </a:rPr>
                      <m:t>+</m:t>
                    </m:r>
                    <m:r>
                      <a:rPr lang="en-US" sz="1100" b="0" i="1">
                        <a:latin typeface="Cambria Math" panose="02040503050406030204" pitchFamily="18" charset="0"/>
                      </a:rPr>
                      <m:t>0.8</m:t>
                    </m:r>
                    <m:d>
                      <m:dPr>
                        <m:ctrlPr>
                          <a:rPr lang="en-US" sz="1100" b="0" i="1">
                            <a:latin typeface="Cambria Math" panose="02040503050406030204" pitchFamily="18" charset="0"/>
                          </a:rPr>
                        </m:ctrlPr>
                      </m:dPr>
                      <m:e>
                        <m:r>
                          <a:rPr lang="en-US" sz="1100" b="0" i="1">
                            <a:latin typeface="Cambria Math" panose="02040503050406030204" pitchFamily="18" charset="0"/>
                          </a:rPr>
                          <m:t>11.8%</m:t>
                        </m:r>
                      </m:e>
                    </m:d>
                    <m:r>
                      <a:rPr lang="en-US" sz="1100" b="0" i="1">
                        <a:latin typeface="Cambria Math" panose="02040503050406030204" pitchFamily="18" charset="0"/>
                      </a:rPr>
                      <m:t>=</m:t>
                    </m:r>
                  </m:oMath>
                </m:oMathPara>
              </a14:m>
              <a:endParaRPr lang="es-AR" sz="1100"/>
            </a:p>
          </xdr:txBody>
        </xdr:sp>
      </mc:Choice>
      <mc:Fallback>
        <xdr:sp macro="" textlink="">
          <xdr:nvSpPr>
            <xdr:cNvPr id="28" name="CuadroTexto 4">
              <a:extLst>
                <a:ext uri="{FF2B5EF4-FFF2-40B4-BE49-F238E27FC236}">
                  <a16:creationId xmlns:a16="http://schemas.microsoft.com/office/drawing/2014/main" id="{86C1B206-E8BD-214E-9E2B-1CD1FFD11BD4}"/>
                </a:ext>
              </a:extLst>
            </xdr:cNvPr>
            <xdr:cNvSpPr txBox="1"/>
          </xdr:nvSpPr>
          <xdr:spPr>
            <a:xfrm>
              <a:off x="1301750" y="33080325"/>
              <a:ext cx="3003550" cy="17209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s-AR" sz="1100" b="0" i="0">
                  <a:latin typeface="Cambria Math" panose="02040503050406030204" pitchFamily="18" charset="0"/>
                </a:rPr>
                <a:t>𝑊𝐴𝐶𝐶=0.2</a:t>
              </a:r>
              <a:r>
                <a:rPr lang="en-US" sz="1100" b="0" i="0">
                  <a:latin typeface="Cambria Math" panose="02040503050406030204" pitchFamily="18" charset="0"/>
                </a:rPr>
                <a:t>(5.7%)</a:t>
              </a:r>
              <a:r>
                <a:rPr lang="es-AR" sz="1100" b="0" i="0">
                  <a:latin typeface="Cambria Math" panose="02040503050406030204" pitchFamily="18" charset="0"/>
                </a:rPr>
                <a:t>(1−</a:t>
              </a:r>
              <a:r>
                <a:rPr lang="en-US" sz="1100" b="0" i="0">
                  <a:latin typeface="Cambria Math" panose="02040503050406030204" pitchFamily="18" charset="0"/>
                </a:rPr>
                <a:t>0.3333)</a:t>
              </a:r>
              <a:r>
                <a:rPr lang="es-AR" sz="1100" b="0" i="0">
                  <a:latin typeface="Cambria Math" panose="02040503050406030204" pitchFamily="18" charset="0"/>
                </a:rPr>
                <a:t>+</a:t>
              </a:r>
              <a:r>
                <a:rPr lang="en-US" sz="1100" b="0" i="0">
                  <a:latin typeface="Cambria Math" panose="02040503050406030204" pitchFamily="18" charset="0"/>
                </a:rPr>
                <a:t>0.8(11.8%)=</a:t>
              </a:r>
              <a:endParaRPr lang="es-AR" sz="1100"/>
            </a:p>
          </xdr:txBody>
        </xdr:sp>
      </mc:Fallback>
    </mc:AlternateContent>
    <xdr:clientData/>
  </xdr:twoCellAnchor>
  <xdr:twoCellAnchor>
    <xdr:from>
      <xdr:col>12</xdr:col>
      <xdr:colOff>51434</xdr:colOff>
      <xdr:row>171</xdr:row>
      <xdr:rowOff>19050</xdr:rowOff>
    </xdr:from>
    <xdr:to>
      <xdr:col>16</xdr:col>
      <xdr:colOff>569595</xdr:colOff>
      <xdr:row>172</xdr:row>
      <xdr:rowOff>95015</xdr:rowOff>
    </xdr:to>
    <mc:AlternateContent xmlns:mc="http://schemas.openxmlformats.org/markup-compatibility/2006">
      <mc:Choice xmlns:a14="http://schemas.microsoft.com/office/drawing/2010/main" Requires="a14">
        <xdr:sp macro="" textlink="">
          <xdr:nvSpPr>
            <xdr:cNvPr id="29" name="6 CuadroTexto">
              <a:extLst>
                <a:ext uri="{FF2B5EF4-FFF2-40B4-BE49-F238E27FC236}">
                  <a16:creationId xmlns:a16="http://schemas.microsoft.com/office/drawing/2014/main" id="{4F42467E-B884-AB43-B7EE-1632B15C4FBB}"/>
                </a:ext>
              </a:extLst>
            </xdr:cNvPr>
            <xdr:cNvSpPr txBox="1"/>
          </xdr:nvSpPr>
          <xdr:spPr>
            <a:xfrm>
              <a:off x="11456034" y="6407150"/>
              <a:ext cx="4023361" cy="266465"/>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m:rPr>
                        <m:sty m:val="p"/>
                      </m:rPr>
                      <a:rPr lang="es-AR" sz="1100" b="0" i="0">
                        <a:latin typeface="Cambria Math"/>
                      </a:rPr>
                      <m:t>Equity</m:t>
                    </m:r>
                    <m:r>
                      <a:rPr lang="es-AR" sz="1100" b="0" i="0">
                        <a:latin typeface="Cambria Math"/>
                      </a:rPr>
                      <m:t> </m:t>
                    </m:r>
                    <m:r>
                      <m:rPr>
                        <m:sty m:val="p"/>
                      </m:rPr>
                      <a:rPr lang="es-AR" sz="1100" b="0" i="0">
                        <a:latin typeface="Cambria Math"/>
                      </a:rPr>
                      <m:t>value</m:t>
                    </m:r>
                    <m:r>
                      <a:rPr lang="es-AR" sz="1100" b="0" i="0">
                        <a:latin typeface="Cambria Math"/>
                      </a:rPr>
                      <m:t>=</m:t>
                    </m:r>
                    <m:r>
                      <m:rPr>
                        <m:sty m:val="p"/>
                      </m:rPr>
                      <a:rPr lang="es-AR" sz="1100" b="0" i="0">
                        <a:latin typeface="Cambria Math"/>
                      </a:rPr>
                      <m:t>Firm</m:t>
                    </m:r>
                    <m:r>
                      <a:rPr lang="es-AR" sz="1100" b="0" i="0">
                        <a:latin typeface="Cambria Math"/>
                      </a:rPr>
                      <m:t> </m:t>
                    </m:r>
                    <m:r>
                      <m:rPr>
                        <m:sty m:val="p"/>
                      </m:rPr>
                      <a:rPr lang="es-AR" sz="1100" b="0" i="0">
                        <a:latin typeface="Cambria Math"/>
                      </a:rPr>
                      <m:t>value</m:t>
                    </m:r>
                    <m:r>
                      <a:rPr lang="es-AR" sz="1100" b="0" i="0">
                        <a:latin typeface="Cambria Math"/>
                      </a:rPr>
                      <m:t>−</m:t>
                    </m:r>
                    <m:r>
                      <m:rPr>
                        <m:sty m:val="p"/>
                      </m:rPr>
                      <a:rPr lang="es-AR" sz="1100" b="0" i="0">
                        <a:latin typeface="Cambria Math"/>
                      </a:rPr>
                      <m:t>market</m:t>
                    </m:r>
                    <m:r>
                      <a:rPr lang="es-AR" sz="1100" b="0" i="0">
                        <a:latin typeface="Cambria Math"/>
                      </a:rPr>
                      <m:t> </m:t>
                    </m:r>
                    <m:r>
                      <m:rPr>
                        <m:sty m:val="p"/>
                      </m:rPr>
                      <a:rPr lang="es-AR" sz="1100" b="0" i="0">
                        <a:latin typeface="Cambria Math"/>
                      </a:rPr>
                      <m:t>value</m:t>
                    </m:r>
                    <m:r>
                      <a:rPr lang="es-AR" sz="1100" b="0" i="0">
                        <a:latin typeface="Cambria Math"/>
                      </a:rPr>
                      <m:t> </m:t>
                    </m:r>
                    <m:r>
                      <m:rPr>
                        <m:sty m:val="p"/>
                      </m:rPr>
                      <a:rPr lang="es-AR" sz="1100" b="0" i="0">
                        <a:latin typeface="Cambria Math"/>
                      </a:rPr>
                      <m:t>of</m:t>
                    </m:r>
                    <m:r>
                      <a:rPr lang="es-AR" sz="1100" b="0" i="0">
                        <a:latin typeface="Cambria Math"/>
                      </a:rPr>
                      <m:t> </m:t>
                    </m:r>
                    <m:r>
                      <m:rPr>
                        <m:sty m:val="p"/>
                      </m:rPr>
                      <a:rPr lang="es-AR" sz="1100" b="0" i="0">
                        <a:latin typeface="Cambria Math"/>
                      </a:rPr>
                      <m:t>debt</m:t>
                    </m:r>
                  </m:oMath>
                </m:oMathPara>
              </a14:m>
              <a:endParaRPr lang="es-AR" sz="1100"/>
            </a:p>
          </xdr:txBody>
        </xdr:sp>
      </mc:Choice>
      <mc:Fallback>
        <xdr:sp macro="" textlink="">
          <xdr:nvSpPr>
            <xdr:cNvPr id="29" name="6 CuadroTexto">
              <a:extLst>
                <a:ext uri="{FF2B5EF4-FFF2-40B4-BE49-F238E27FC236}">
                  <a16:creationId xmlns:a16="http://schemas.microsoft.com/office/drawing/2014/main" id="{4F42467E-B884-AB43-B7EE-1632B15C4FBB}"/>
                </a:ext>
              </a:extLst>
            </xdr:cNvPr>
            <xdr:cNvSpPr txBox="1"/>
          </xdr:nvSpPr>
          <xdr:spPr>
            <a:xfrm>
              <a:off x="11456034" y="6407150"/>
              <a:ext cx="4023361" cy="266465"/>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s-AR" sz="1100" b="0" i="0">
                  <a:latin typeface="Cambria Math"/>
                </a:rPr>
                <a:t>Equity value=Firm value−market value of debt</a:t>
              </a:r>
              <a:endParaRPr lang="es-AR" sz="1100"/>
            </a:p>
          </xdr:txBody>
        </xdr:sp>
      </mc:Fallback>
    </mc:AlternateContent>
    <xdr:clientData/>
  </xdr:twoCellAnchor>
  <xdr:twoCellAnchor editAs="oneCell">
    <xdr:from>
      <xdr:col>0</xdr:col>
      <xdr:colOff>0</xdr:colOff>
      <xdr:row>190</xdr:row>
      <xdr:rowOff>0</xdr:rowOff>
    </xdr:from>
    <xdr:to>
      <xdr:col>6</xdr:col>
      <xdr:colOff>1600200</xdr:colOff>
      <xdr:row>217</xdr:row>
      <xdr:rowOff>99654</xdr:rowOff>
    </xdr:to>
    <xdr:pic>
      <xdr:nvPicPr>
        <xdr:cNvPr id="30" name="Picture 29">
          <a:extLst>
            <a:ext uri="{FF2B5EF4-FFF2-40B4-BE49-F238E27FC236}">
              <a16:creationId xmlns:a16="http://schemas.microsoft.com/office/drawing/2014/main" id="{071CAA16-3700-FA11-79CC-44178E0A5C21}"/>
            </a:ext>
          </a:extLst>
        </xdr:cNvPr>
        <xdr:cNvPicPr>
          <a:picLocks noChangeAspect="1"/>
        </xdr:cNvPicPr>
      </xdr:nvPicPr>
      <xdr:blipFill>
        <a:blip xmlns:r="http://schemas.openxmlformats.org/officeDocument/2006/relationships" r:embed="rId13"/>
        <a:stretch>
          <a:fillRect/>
        </a:stretch>
      </xdr:blipFill>
      <xdr:spPr>
        <a:xfrm>
          <a:off x="0" y="40589200"/>
          <a:ext cx="7772400" cy="5586054"/>
        </a:xfrm>
        <a:prstGeom prst="rect">
          <a:avLst/>
        </a:prstGeom>
      </xdr:spPr>
    </xdr:pic>
    <xdr:clientData/>
  </xdr:twoCellAnchor>
  <xdr:twoCellAnchor>
    <xdr:from>
      <xdr:col>12</xdr:col>
      <xdr:colOff>83820</xdr:colOff>
      <xdr:row>236</xdr:row>
      <xdr:rowOff>53340</xdr:rowOff>
    </xdr:from>
    <xdr:to>
      <xdr:col>17</xdr:col>
      <xdr:colOff>87710</xdr:colOff>
      <xdr:row>239</xdr:row>
      <xdr:rowOff>28818</xdr:rowOff>
    </xdr:to>
    <mc:AlternateContent xmlns:mc="http://schemas.openxmlformats.org/markup-compatibility/2006">
      <mc:Choice xmlns:a14="http://schemas.microsoft.com/office/drawing/2010/main" Requires="a14">
        <xdr:sp macro="" textlink="">
          <xdr:nvSpPr>
            <xdr:cNvPr id="31" name="TextBox 6">
              <a:extLst>
                <a:ext uri="{FF2B5EF4-FFF2-40B4-BE49-F238E27FC236}">
                  <a16:creationId xmlns:a16="http://schemas.microsoft.com/office/drawing/2014/main" id="{3954BAEA-8336-C04E-9234-345FEF934649}"/>
                </a:ext>
              </a:extLst>
            </xdr:cNvPr>
            <xdr:cNvSpPr txBox="1"/>
          </xdr:nvSpPr>
          <xdr:spPr>
            <a:xfrm>
              <a:off x="11488420" y="3368040"/>
              <a:ext cx="4385390" cy="54697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f>
                      <m:fPr>
                        <m:ctrlPr>
                          <a:rPr lang="en-US" b="0" i="1">
                            <a:latin typeface="Cambria Math" panose="02040503050406030204" pitchFamily="18" charset="0"/>
                          </a:rPr>
                        </m:ctrlPr>
                      </m:fPr>
                      <m:num>
                        <m:r>
                          <a:rPr lang="en-US" i="1">
                            <a:latin typeface="Cambria Math" panose="02040503050406030204" pitchFamily="18" charset="0"/>
                          </a:rPr>
                          <m:t>𝐶𝑎𝑝𝑖𝑡𝑎𝑙</m:t>
                        </m:r>
                        <m:r>
                          <a:rPr lang="en-US" i="1">
                            <a:latin typeface="Cambria Math" panose="02040503050406030204" pitchFamily="18" charset="0"/>
                          </a:rPr>
                          <m:t> </m:t>
                        </m:r>
                        <m:r>
                          <a:rPr lang="en-US" i="1">
                            <a:latin typeface="Cambria Math" panose="02040503050406030204" pitchFamily="18" charset="0"/>
                          </a:rPr>
                          <m:t>𝑒𝑥𝑝𝑒𝑛𝑑𝑖𝑡𝑢𝑟𝑒𝑠</m:t>
                        </m:r>
                        <m:r>
                          <a:rPr lang="en-US" i="1">
                            <a:latin typeface="Cambria Math" panose="02040503050406030204" pitchFamily="18" charset="0"/>
                          </a:rPr>
                          <m:t>−</m:t>
                        </m:r>
                        <m:r>
                          <a:rPr lang="en-US" i="1">
                            <a:latin typeface="Cambria Math" panose="02040503050406030204" pitchFamily="18" charset="0"/>
                          </a:rPr>
                          <m:t>𝑑𝑒𝑝𝑟𝑒𝑐𝑖𝑎𝑡𝑖𝑜𝑛</m:t>
                        </m:r>
                        <m:r>
                          <m:rPr>
                            <m:nor/>
                          </m:rPr>
                          <a:rPr lang="en-US"/>
                          <m:t> </m:t>
                        </m:r>
                      </m:num>
                      <m:den>
                        <m:r>
                          <a:rPr lang="en-US" b="0" i="1">
                            <a:latin typeface="Cambria Math" panose="02040503050406030204" pitchFamily="18" charset="0"/>
                          </a:rPr>
                          <m:t>𝐼𝑛𝑐𝑟𝑒𝑎𝑠𝑒</m:t>
                        </m:r>
                        <m:r>
                          <a:rPr lang="en-US" b="0" i="1">
                            <a:latin typeface="Cambria Math" panose="02040503050406030204" pitchFamily="18" charset="0"/>
                          </a:rPr>
                          <m:t> </m:t>
                        </m:r>
                        <m:r>
                          <a:rPr lang="en-US" b="0" i="1">
                            <a:latin typeface="Cambria Math" panose="02040503050406030204" pitchFamily="18" charset="0"/>
                          </a:rPr>
                          <m:t>𝑖𝑛</m:t>
                        </m:r>
                        <m:r>
                          <a:rPr lang="en-US" b="0" i="1">
                            <a:latin typeface="Cambria Math" panose="02040503050406030204" pitchFamily="18" charset="0"/>
                          </a:rPr>
                          <m:t> </m:t>
                        </m:r>
                        <m:r>
                          <a:rPr lang="en-US" b="0" i="1">
                            <a:latin typeface="Cambria Math" panose="02040503050406030204" pitchFamily="18" charset="0"/>
                          </a:rPr>
                          <m:t>𝑠𝑎𝑙𝑒𝑠</m:t>
                        </m:r>
                      </m:den>
                    </m:f>
                  </m:oMath>
                </m:oMathPara>
              </a14:m>
              <a:endParaRPr lang="en-US"/>
            </a:p>
          </xdr:txBody>
        </xdr:sp>
      </mc:Choice>
      <mc:Fallback>
        <xdr:sp macro="" textlink="">
          <xdr:nvSpPr>
            <xdr:cNvPr id="31" name="TextBox 6">
              <a:extLst>
                <a:ext uri="{FF2B5EF4-FFF2-40B4-BE49-F238E27FC236}">
                  <a16:creationId xmlns:a16="http://schemas.microsoft.com/office/drawing/2014/main" id="{3954BAEA-8336-C04E-9234-345FEF934649}"/>
                </a:ext>
              </a:extLst>
            </xdr:cNvPr>
            <xdr:cNvSpPr txBox="1"/>
          </xdr:nvSpPr>
          <xdr:spPr>
            <a:xfrm>
              <a:off x="11488420" y="3368040"/>
              <a:ext cx="4385390" cy="54697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b="0" i="0">
                  <a:latin typeface="Cambria Math" panose="02040503050406030204" pitchFamily="18" charset="0"/>
                </a:rPr>
                <a:t>(</a:t>
              </a:r>
              <a:r>
                <a:rPr lang="en-US" i="0">
                  <a:latin typeface="Cambria Math" panose="02040503050406030204" pitchFamily="18" charset="0"/>
                </a:rPr>
                <a:t>𝐶𝑎𝑝𝑖𝑡𝑎𝑙 𝑒𝑥𝑝𝑒𝑛𝑑𝑖𝑡𝑢𝑟𝑒𝑠−𝑑𝑒𝑝𝑟𝑒𝑐𝑖𝑎𝑡𝑖𝑜𝑛"</a:t>
              </a:r>
              <a:r>
                <a:rPr lang="en-US" i="0"/>
                <a:t> </a:t>
              </a:r>
              <a:r>
                <a:rPr lang="en-US" i="0">
                  <a:latin typeface="Cambria Math" panose="02040503050406030204" pitchFamily="18" charset="0"/>
                </a:rPr>
                <a:t>" </a:t>
              </a:r>
              <a:r>
                <a:rPr lang="en-US" b="0" i="0">
                  <a:latin typeface="Cambria Math" panose="02040503050406030204" pitchFamily="18" charset="0"/>
                </a:rPr>
                <a:t>)/(𝐼𝑛𝑐𝑟𝑒𝑎𝑠𝑒 𝑖𝑛 𝑠𝑎𝑙𝑒𝑠)</a:t>
              </a:r>
              <a:endParaRPr lang="en-US"/>
            </a:p>
          </xdr:txBody>
        </xdr:sp>
      </mc:Fallback>
    </mc:AlternateContent>
    <xdr:clientData/>
  </xdr:twoCellAnchor>
  <xdr:twoCellAnchor>
    <xdr:from>
      <xdr:col>12</xdr:col>
      <xdr:colOff>501110</xdr:colOff>
      <xdr:row>242</xdr:row>
      <xdr:rowOff>173221</xdr:rowOff>
    </xdr:from>
    <xdr:to>
      <xdr:col>16</xdr:col>
      <xdr:colOff>392435</xdr:colOff>
      <xdr:row>245</xdr:row>
      <xdr:rowOff>135319</xdr:rowOff>
    </xdr:to>
    <mc:AlternateContent xmlns:mc="http://schemas.openxmlformats.org/markup-compatibility/2006">
      <mc:Choice xmlns:a14="http://schemas.microsoft.com/office/drawing/2010/main" Requires="a14">
        <xdr:sp macro="" textlink="">
          <xdr:nvSpPr>
            <xdr:cNvPr id="32" name="TextBox 7">
              <a:extLst>
                <a:ext uri="{FF2B5EF4-FFF2-40B4-BE49-F238E27FC236}">
                  <a16:creationId xmlns:a16="http://schemas.microsoft.com/office/drawing/2014/main" id="{BDAEB9B7-9F0B-5C4A-952B-7E12FCAB56A1}"/>
                </a:ext>
              </a:extLst>
            </xdr:cNvPr>
            <xdr:cNvSpPr txBox="1"/>
          </xdr:nvSpPr>
          <xdr:spPr>
            <a:xfrm>
              <a:off x="11905710" y="4630921"/>
              <a:ext cx="3396525" cy="54629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f>
                      <m:fPr>
                        <m:ctrlPr>
                          <a:rPr lang="en-US" b="0" i="1">
                            <a:latin typeface="Cambria Math" panose="02040503050406030204" pitchFamily="18" charset="0"/>
                          </a:rPr>
                        </m:ctrlPr>
                      </m:fPr>
                      <m:num>
                        <m:r>
                          <a:rPr lang="en-US" b="0" i="1">
                            <a:latin typeface="Cambria Math" panose="02040503050406030204" pitchFamily="18" charset="0"/>
                          </a:rPr>
                          <m:t>𝐼𝑛𝑐𝑟𝑒𝑎𝑠𝑒</m:t>
                        </m:r>
                        <m:r>
                          <a:rPr lang="en-US" b="0" i="1">
                            <a:latin typeface="Cambria Math" panose="02040503050406030204" pitchFamily="18" charset="0"/>
                          </a:rPr>
                          <m:t> </m:t>
                        </m:r>
                        <m:r>
                          <a:rPr lang="en-US" b="0" i="1">
                            <a:latin typeface="Cambria Math" panose="02040503050406030204" pitchFamily="18" charset="0"/>
                          </a:rPr>
                          <m:t>𝑖𝑛</m:t>
                        </m:r>
                        <m:r>
                          <a:rPr lang="en-US" b="0" i="1">
                            <a:latin typeface="Cambria Math" panose="02040503050406030204" pitchFamily="18" charset="0"/>
                          </a:rPr>
                          <m:t> </m:t>
                        </m:r>
                        <m:r>
                          <a:rPr lang="en-US" b="0" i="1">
                            <a:latin typeface="Cambria Math" panose="02040503050406030204" pitchFamily="18" charset="0"/>
                          </a:rPr>
                          <m:t>𝑊𝑜𝑟𝑘𝑖𝑛𝑔</m:t>
                        </m:r>
                        <m:r>
                          <a:rPr lang="en-US" b="0" i="1">
                            <a:latin typeface="Cambria Math" panose="02040503050406030204" pitchFamily="18" charset="0"/>
                          </a:rPr>
                          <m:t> </m:t>
                        </m:r>
                        <m:r>
                          <a:rPr lang="en-US" b="0" i="1">
                            <a:latin typeface="Cambria Math" panose="02040503050406030204" pitchFamily="18" charset="0"/>
                          </a:rPr>
                          <m:t>𝐶𝑎𝑝𝑖𝑡𝑎𝑙</m:t>
                        </m:r>
                      </m:num>
                      <m:den>
                        <m:r>
                          <a:rPr lang="en-US" b="0" i="1">
                            <a:latin typeface="Cambria Math" panose="02040503050406030204" pitchFamily="18" charset="0"/>
                          </a:rPr>
                          <m:t>𝐼𝑛𝑐𝑟𝑒𝑎𝑠𝑒</m:t>
                        </m:r>
                        <m:r>
                          <a:rPr lang="en-US" b="0" i="1">
                            <a:latin typeface="Cambria Math" panose="02040503050406030204" pitchFamily="18" charset="0"/>
                          </a:rPr>
                          <m:t> </m:t>
                        </m:r>
                        <m:r>
                          <a:rPr lang="en-US" b="0" i="1">
                            <a:latin typeface="Cambria Math" panose="02040503050406030204" pitchFamily="18" charset="0"/>
                          </a:rPr>
                          <m:t>𝑖𝑛</m:t>
                        </m:r>
                        <m:r>
                          <a:rPr lang="en-US" b="0" i="1">
                            <a:latin typeface="Cambria Math" panose="02040503050406030204" pitchFamily="18" charset="0"/>
                          </a:rPr>
                          <m:t> </m:t>
                        </m:r>
                        <m:r>
                          <a:rPr lang="en-US" b="0" i="1">
                            <a:latin typeface="Cambria Math" panose="02040503050406030204" pitchFamily="18" charset="0"/>
                          </a:rPr>
                          <m:t>𝑠𝑎𝑙𝑒𝑠</m:t>
                        </m:r>
                      </m:den>
                    </m:f>
                  </m:oMath>
                </m:oMathPara>
              </a14:m>
              <a:endParaRPr lang="en-US"/>
            </a:p>
          </xdr:txBody>
        </xdr:sp>
      </mc:Choice>
      <mc:Fallback>
        <xdr:sp macro="" textlink="">
          <xdr:nvSpPr>
            <xdr:cNvPr id="32" name="TextBox 7">
              <a:extLst>
                <a:ext uri="{FF2B5EF4-FFF2-40B4-BE49-F238E27FC236}">
                  <a16:creationId xmlns:a16="http://schemas.microsoft.com/office/drawing/2014/main" id="{BDAEB9B7-9F0B-5C4A-952B-7E12FCAB56A1}"/>
                </a:ext>
              </a:extLst>
            </xdr:cNvPr>
            <xdr:cNvSpPr txBox="1"/>
          </xdr:nvSpPr>
          <xdr:spPr>
            <a:xfrm>
              <a:off x="11905710" y="4630921"/>
              <a:ext cx="3396525" cy="54629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b="0" i="0">
                  <a:latin typeface="Cambria Math" panose="02040503050406030204" pitchFamily="18" charset="0"/>
                </a:rPr>
                <a:t>(𝐼𝑛𝑐𝑟𝑒𝑎𝑠𝑒 𝑖𝑛 𝑊𝑜𝑟𝑘𝑖𝑛𝑔 𝐶𝑎𝑝𝑖𝑡𝑎𝑙)/(𝐼𝑛𝑐𝑟𝑒𝑎𝑠𝑒 𝑖𝑛 𝑠𝑎𝑙𝑒𝑠)</a:t>
              </a:r>
              <a:endParaRPr lang="en-US"/>
            </a:p>
          </xdr:txBody>
        </xdr:sp>
      </mc:Fallback>
    </mc:AlternateContent>
    <xdr:clientData/>
  </xdr:twoCellAnchor>
  <xdr:twoCellAnchor>
    <xdr:from>
      <xdr:col>7</xdr:col>
      <xdr:colOff>213360</xdr:colOff>
      <xdr:row>248</xdr:row>
      <xdr:rowOff>30480</xdr:rowOff>
    </xdr:from>
    <xdr:to>
      <xdr:col>11</xdr:col>
      <xdr:colOff>269066</xdr:colOff>
      <xdr:row>249</xdr:row>
      <xdr:rowOff>24042</xdr:rowOff>
    </xdr:to>
    <mc:AlternateContent xmlns:mc="http://schemas.openxmlformats.org/markup-compatibility/2006">
      <mc:Choice xmlns:a14="http://schemas.microsoft.com/office/drawing/2010/main" Requires="a14">
        <xdr:sp macro="" textlink="">
          <xdr:nvSpPr>
            <xdr:cNvPr id="33" name="TextBox 32">
              <a:extLst>
                <a:ext uri="{FF2B5EF4-FFF2-40B4-BE49-F238E27FC236}">
                  <a16:creationId xmlns:a16="http://schemas.microsoft.com/office/drawing/2014/main" id="{8DF8CB48-C6F0-4246-9E65-F3A784D6B0D3}"/>
                </a:ext>
              </a:extLst>
            </xdr:cNvPr>
            <xdr:cNvSpPr txBox="1"/>
          </xdr:nvSpPr>
          <xdr:spPr>
            <a:xfrm>
              <a:off x="7084060" y="5643880"/>
              <a:ext cx="3713306" cy="196762"/>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a:rPr lang="en-US" sz="1200" b="0" i="1">
                        <a:latin typeface="Cambria Math" panose="02040503050406030204" pitchFamily="18" charset="0"/>
                      </a:rPr>
                      <m:t>𝐹𝐶𝐹𝐹</m:t>
                    </m:r>
                    <m:r>
                      <a:rPr lang="en-US" sz="1200" b="0" i="1">
                        <a:latin typeface="Cambria Math" panose="02040503050406030204" pitchFamily="18" charset="0"/>
                      </a:rPr>
                      <m:t>=</m:t>
                    </m:r>
                    <m:r>
                      <a:rPr lang="en-US" sz="1200" i="1">
                        <a:latin typeface="Cambria Math" panose="02040503050406030204" pitchFamily="18" charset="0"/>
                      </a:rPr>
                      <m:t>𝐸𝐵𝐼𝑇</m:t>
                    </m:r>
                    <m:d>
                      <m:dPr>
                        <m:ctrlPr>
                          <a:rPr lang="en-US" sz="1200" i="1">
                            <a:latin typeface="Cambria Math" panose="02040503050406030204" pitchFamily="18" charset="0"/>
                          </a:rPr>
                        </m:ctrlPr>
                      </m:dPr>
                      <m:e>
                        <m:r>
                          <a:rPr lang="en-US" sz="1200" i="1">
                            <a:latin typeface="Cambria Math" panose="02040503050406030204" pitchFamily="18" charset="0"/>
                          </a:rPr>
                          <m:t>1−</m:t>
                        </m:r>
                        <m:r>
                          <a:rPr lang="en-US" sz="1200" i="1">
                            <a:latin typeface="Cambria Math" panose="02040503050406030204" pitchFamily="18" charset="0"/>
                          </a:rPr>
                          <m:t>𝑡</m:t>
                        </m:r>
                      </m:e>
                    </m:d>
                    <m:r>
                      <a:rPr lang="en-US" sz="1200" i="1">
                        <a:latin typeface="Cambria Math" panose="02040503050406030204" pitchFamily="18" charset="0"/>
                      </a:rPr>
                      <m:t>+</m:t>
                    </m:r>
                    <m:r>
                      <a:rPr lang="en-US" sz="1200" i="1">
                        <a:latin typeface="Cambria Math" panose="02040503050406030204" pitchFamily="18" charset="0"/>
                      </a:rPr>
                      <m:t>𝑁𝐶𝐶</m:t>
                    </m:r>
                    <m:r>
                      <a:rPr lang="en-US" sz="1200" b="0" i="1">
                        <a:latin typeface="Cambria Math" panose="02040503050406030204" pitchFamily="18" charset="0"/>
                      </a:rPr>
                      <m:t>−</m:t>
                    </m:r>
                    <m:r>
                      <a:rPr lang="en-US" sz="1200" b="0" i="1">
                        <a:latin typeface="Cambria Math" panose="02040503050406030204" pitchFamily="18" charset="0"/>
                      </a:rPr>
                      <m:t>𝐹𝐶𝐼𝑛𝑣</m:t>
                    </m:r>
                    <m:r>
                      <a:rPr lang="en-US" sz="1200" b="0" i="1">
                        <a:latin typeface="Cambria Math" panose="02040503050406030204" pitchFamily="18" charset="0"/>
                      </a:rPr>
                      <m:t>−</m:t>
                    </m:r>
                    <m:r>
                      <a:rPr lang="en-US" sz="1200" b="0" i="1">
                        <a:latin typeface="Cambria Math" panose="02040503050406030204" pitchFamily="18" charset="0"/>
                      </a:rPr>
                      <m:t>𝑊𝐶𝐼𝑛𝑣</m:t>
                    </m:r>
                  </m:oMath>
                </m:oMathPara>
              </a14:m>
              <a:endParaRPr lang="en-US" sz="1200"/>
            </a:p>
          </xdr:txBody>
        </xdr:sp>
      </mc:Choice>
      <mc:Fallback>
        <xdr:sp macro="" textlink="">
          <xdr:nvSpPr>
            <xdr:cNvPr id="33" name="TextBox 32">
              <a:extLst>
                <a:ext uri="{FF2B5EF4-FFF2-40B4-BE49-F238E27FC236}">
                  <a16:creationId xmlns:a16="http://schemas.microsoft.com/office/drawing/2014/main" id="{8DF8CB48-C6F0-4246-9E65-F3A784D6B0D3}"/>
                </a:ext>
              </a:extLst>
            </xdr:cNvPr>
            <xdr:cNvSpPr txBox="1"/>
          </xdr:nvSpPr>
          <xdr:spPr>
            <a:xfrm>
              <a:off x="7084060" y="5643880"/>
              <a:ext cx="3713306" cy="196762"/>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sz="1200" b="0" i="0">
                  <a:latin typeface="Cambria Math" panose="02040503050406030204" pitchFamily="18" charset="0"/>
                </a:rPr>
                <a:t>𝐹𝐶𝐹𝐹=</a:t>
              </a:r>
              <a:r>
                <a:rPr lang="en-US" sz="1200" i="0">
                  <a:latin typeface="Cambria Math" panose="02040503050406030204" pitchFamily="18" charset="0"/>
                </a:rPr>
                <a:t>𝐸𝐵𝐼𝑇(1−𝑡)+𝑁𝐶𝐶</a:t>
              </a:r>
              <a:r>
                <a:rPr lang="en-US" sz="1200" b="0" i="0">
                  <a:latin typeface="Cambria Math" panose="02040503050406030204" pitchFamily="18" charset="0"/>
                </a:rPr>
                <a:t>−𝐹𝐶𝐼𝑛𝑣−𝑊𝐶𝐼𝑛𝑣</a:t>
              </a:r>
              <a:endParaRPr lang="en-US" sz="1200"/>
            </a:p>
          </xdr:txBody>
        </xdr:sp>
      </mc:Fallback>
    </mc:AlternateContent>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14</xdr:col>
      <xdr:colOff>230895</xdr:colOff>
      <xdr:row>24</xdr:row>
      <xdr:rowOff>183336</xdr:rowOff>
    </xdr:to>
    <xdr:pic>
      <xdr:nvPicPr>
        <xdr:cNvPr id="2" name="Picture 1">
          <a:extLst>
            <a:ext uri="{FF2B5EF4-FFF2-40B4-BE49-F238E27FC236}">
              <a16:creationId xmlns:a16="http://schemas.microsoft.com/office/drawing/2014/main" id="{4E309FD5-72F1-A2A0-8BBC-26237EA54A6D}"/>
            </a:ext>
          </a:extLst>
        </xdr:cNvPr>
        <xdr:cNvPicPr>
          <a:picLocks noChangeAspect="1"/>
        </xdr:cNvPicPr>
      </xdr:nvPicPr>
      <xdr:blipFill>
        <a:blip xmlns:r="http://schemas.openxmlformats.org/officeDocument/2006/relationships" r:embed="rId1"/>
        <a:stretch>
          <a:fillRect/>
        </a:stretch>
      </xdr:blipFill>
      <xdr:spPr>
        <a:xfrm>
          <a:off x="0" y="0"/>
          <a:ext cx="11849100" cy="5060136"/>
        </a:xfrm>
        <a:prstGeom prst="rect">
          <a:avLst/>
        </a:prstGeom>
      </xdr:spPr>
    </xdr:pic>
    <xdr:clientData/>
  </xdr:twoCellAnchor>
  <xdr:twoCellAnchor>
    <xdr:from>
      <xdr:col>3</xdr:col>
      <xdr:colOff>230504</xdr:colOff>
      <xdr:row>97</xdr:row>
      <xdr:rowOff>22859</xdr:rowOff>
    </xdr:from>
    <xdr:to>
      <xdr:col>8</xdr:col>
      <xdr:colOff>622299</xdr:colOff>
      <xdr:row>98</xdr:row>
      <xdr:rowOff>8621</xdr:rowOff>
    </xdr:to>
    <mc:AlternateContent xmlns:mc="http://schemas.openxmlformats.org/markup-compatibility/2006">
      <mc:Choice xmlns:a14="http://schemas.microsoft.com/office/drawing/2010/main" Requires="a14">
        <xdr:sp macro="" textlink="">
          <xdr:nvSpPr>
            <xdr:cNvPr id="3" name="TextBox 3">
              <a:extLst>
                <a:ext uri="{FF2B5EF4-FFF2-40B4-BE49-F238E27FC236}">
                  <a16:creationId xmlns:a16="http://schemas.microsoft.com/office/drawing/2014/main" id="{9EFD7841-19C9-2F4B-BFDD-B85BE6BDDD6D}"/>
                </a:ext>
              </a:extLst>
            </xdr:cNvPr>
            <xdr:cNvSpPr txBox="1"/>
          </xdr:nvSpPr>
          <xdr:spPr>
            <a:xfrm>
              <a:off x="2707004" y="20444459"/>
              <a:ext cx="4519295" cy="188962"/>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a:rPr lang="en-US" sz="1200" b="0" i="1">
                        <a:latin typeface="Latin Modern Math" panose="02000503000000000000" pitchFamily="2" charset="77"/>
                        <a:ea typeface="Latin Modern Math" panose="02000503000000000000" pitchFamily="2" charset="77"/>
                      </a:rPr>
                      <m:t>𝐹𝐶𝐹𝐹</m:t>
                    </m:r>
                    <m:r>
                      <a:rPr lang="en-US" sz="1200" b="0" i="1">
                        <a:latin typeface="Latin Modern Math" panose="02000503000000000000" pitchFamily="2" charset="77"/>
                        <a:ea typeface="Latin Modern Math" panose="02000503000000000000" pitchFamily="2" charset="77"/>
                      </a:rPr>
                      <m:t>=</m:t>
                    </m:r>
                    <m:r>
                      <a:rPr lang="en-US" sz="1200" b="0" i="1">
                        <a:latin typeface="Latin Modern Math" panose="02000503000000000000" pitchFamily="2" charset="77"/>
                        <a:ea typeface="Latin Modern Math" panose="02000503000000000000" pitchFamily="2" charset="77"/>
                      </a:rPr>
                      <m:t>𝑁𝐼</m:t>
                    </m:r>
                    <m:r>
                      <a:rPr lang="en-US" sz="1200" b="0" i="1">
                        <a:latin typeface="Latin Modern Math" panose="02000503000000000000" pitchFamily="2" charset="77"/>
                        <a:ea typeface="Latin Modern Math" panose="02000503000000000000" pitchFamily="2" charset="77"/>
                      </a:rPr>
                      <m:t>+</m:t>
                    </m:r>
                    <m:r>
                      <a:rPr lang="en-US" sz="1200" b="0" i="1">
                        <a:latin typeface="Latin Modern Math" panose="02000503000000000000" pitchFamily="2" charset="77"/>
                        <a:ea typeface="Latin Modern Math" panose="02000503000000000000" pitchFamily="2" charset="77"/>
                      </a:rPr>
                      <m:t>𝑁𝐶𝐶</m:t>
                    </m:r>
                    <m:r>
                      <a:rPr lang="en-US" sz="1200" b="0" i="1">
                        <a:latin typeface="Latin Modern Math" panose="02000503000000000000" pitchFamily="2" charset="77"/>
                        <a:ea typeface="Latin Modern Math" panose="02000503000000000000" pitchFamily="2" charset="77"/>
                      </a:rPr>
                      <m:t>+</m:t>
                    </m:r>
                    <m:r>
                      <a:rPr lang="en-US" sz="1200" b="0" i="1">
                        <a:latin typeface="Latin Modern Math" panose="02000503000000000000" pitchFamily="2" charset="77"/>
                        <a:ea typeface="Latin Modern Math" panose="02000503000000000000" pitchFamily="2" charset="77"/>
                      </a:rPr>
                      <m:t>𝐼𝑛𝑡</m:t>
                    </m:r>
                    <m:d>
                      <m:dPr>
                        <m:ctrlPr>
                          <a:rPr lang="en-US" sz="1200" b="0" i="1">
                            <a:latin typeface="Latin Modern Math" panose="02000503000000000000" pitchFamily="2" charset="77"/>
                            <a:ea typeface="Latin Modern Math" panose="02000503000000000000" pitchFamily="2" charset="77"/>
                          </a:rPr>
                        </m:ctrlPr>
                      </m:dPr>
                      <m:e>
                        <m:r>
                          <a:rPr lang="en-US" sz="1200" b="0" i="1">
                            <a:latin typeface="Latin Modern Math" panose="02000503000000000000" pitchFamily="2" charset="77"/>
                            <a:ea typeface="Latin Modern Math" panose="02000503000000000000" pitchFamily="2" charset="77"/>
                          </a:rPr>
                          <m:t>1−</m:t>
                        </m:r>
                        <m:r>
                          <a:rPr lang="en-US" sz="1200" b="0" i="1">
                            <a:latin typeface="Latin Modern Math" panose="02000503000000000000" pitchFamily="2" charset="77"/>
                            <a:ea typeface="Latin Modern Math" panose="02000503000000000000" pitchFamily="2" charset="77"/>
                          </a:rPr>
                          <m:t>𝑡</m:t>
                        </m:r>
                      </m:e>
                    </m:d>
                    <m:r>
                      <a:rPr lang="en-US" sz="1200" b="0" i="1">
                        <a:latin typeface="Latin Modern Math" panose="02000503000000000000" pitchFamily="2" charset="77"/>
                        <a:ea typeface="Latin Modern Math" panose="02000503000000000000" pitchFamily="2" charset="77"/>
                      </a:rPr>
                      <m:t>−</m:t>
                    </m:r>
                    <m:r>
                      <a:rPr lang="en-US" sz="1200" b="0" i="1">
                        <a:latin typeface="Latin Modern Math" panose="02000503000000000000" pitchFamily="2" charset="77"/>
                        <a:ea typeface="Latin Modern Math" panose="02000503000000000000" pitchFamily="2" charset="77"/>
                      </a:rPr>
                      <m:t>𝐹𝐶𝐼𝑛𝑣</m:t>
                    </m:r>
                    <m:r>
                      <a:rPr lang="en-US" sz="1200" b="0" i="1">
                        <a:latin typeface="Latin Modern Math" panose="02000503000000000000" pitchFamily="2" charset="77"/>
                        <a:ea typeface="Latin Modern Math" panose="02000503000000000000" pitchFamily="2" charset="77"/>
                      </a:rPr>
                      <m:t>−</m:t>
                    </m:r>
                    <m:r>
                      <a:rPr lang="en-US" sz="1200" b="0" i="1">
                        <a:latin typeface="Latin Modern Math" panose="02000503000000000000" pitchFamily="2" charset="77"/>
                        <a:ea typeface="Latin Modern Math" panose="02000503000000000000" pitchFamily="2" charset="77"/>
                      </a:rPr>
                      <m:t>𝑊𝐶𝐼𝑛𝑣</m:t>
                    </m:r>
                  </m:oMath>
                </m:oMathPara>
              </a14:m>
              <a:endParaRPr lang="en-US" sz="1200">
                <a:latin typeface="Latin Modern Math" panose="02000503000000000000" pitchFamily="2" charset="77"/>
                <a:ea typeface="Latin Modern Math" panose="02000503000000000000" pitchFamily="2" charset="77"/>
              </a:endParaRPr>
            </a:p>
          </xdr:txBody>
        </xdr:sp>
      </mc:Choice>
      <mc:Fallback>
        <xdr:sp macro="" textlink="">
          <xdr:nvSpPr>
            <xdr:cNvPr id="3" name="TextBox 3">
              <a:extLst>
                <a:ext uri="{FF2B5EF4-FFF2-40B4-BE49-F238E27FC236}">
                  <a16:creationId xmlns:a16="http://schemas.microsoft.com/office/drawing/2014/main" id="{9EFD7841-19C9-2F4B-BFDD-B85BE6BDDD6D}"/>
                </a:ext>
              </a:extLst>
            </xdr:cNvPr>
            <xdr:cNvSpPr txBox="1"/>
          </xdr:nvSpPr>
          <xdr:spPr>
            <a:xfrm>
              <a:off x="2707004" y="20444459"/>
              <a:ext cx="4519295" cy="188962"/>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sz="1200" b="0" i="0">
                  <a:latin typeface="Latin Modern Math" panose="02000503000000000000" pitchFamily="2" charset="77"/>
                  <a:ea typeface="Latin Modern Math" panose="02000503000000000000" pitchFamily="2" charset="77"/>
                </a:rPr>
                <a:t>𝐹𝐶𝐹𝐹=𝑁𝐼+𝑁𝐶𝐶+𝐼𝑛𝑡(1−𝑡)−𝐹𝐶𝐼𝑛𝑣−𝑊𝐶𝐼𝑛𝑣</a:t>
              </a:r>
              <a:endParaRPr lang="en-US" sz="1200">
                <a:latin typeface="Latin Modern Math" panose="02000503000000000000" pitchFamily="2" charset="77"/>
                <a:ea typeface="Latin Modern Math" panose="02000503000000000000" pitchFamily="2" charset="77"/>
              </a:endParaRPr>
            </a:p>
          </xdr:txBody>
        </xdr:sp>
      </mc:Fallback>
    </mc:AlternateContent>
    <xdr:clientData/>
  </xdr:twoCellAnchor>
  <xdr:twoCellAnchor>
    <xdr:from>
      <xdr:col>3</xdr:col>
      <xdr:colOff>692150</xdr:colOff>
      <xdr:row>98</xdr:row>
      <xdr:rowOff>175964</xdr:rowOff>
    </xdr:from>
    <xdr:to>
      <xdr:col>10</xdr:col>
      <xdr:colOff>56385</xdr:colOff>
      <xdr:row>99</xdr:row>
      <xdr:rowOff>157270</xdr:rowOff>
    </xdr:to>
    <mc:AlternateContent xmlns:mc="http://schemas.openxmlformats.org/markup-compatibility/2006">
      <mc:Choice xmlns:a14="http://schemas.microsoft.com/office/drawing/2010/main" Requires="a14">
        <xdr:sp macro="" textlink="">
          <xdr:nvSpPr>
            <xdr:cNvPr id="4" name="TextBox 3">
              <a:extLst>
                <a:ext uri="{FF2B5EF4-FFF2-40B4-BE49-F238E27FC236}">
                  <a16:creationId xmlns:a16="http://schemas.microsoft.com/office/drawing/2014/main" id="{5EC9C0CD-2F9E-E84E-A15A-E55E7E2E5412}"/>
                </a:ext>
              </a:extLst>
            </xdr:cNvPr>
            <xdr:cNvSpPr txBox="1"/>
          </xdr:nvSpPr>
          <xdr:spPr>
            <a:xfrm>
              <a:off x="3170945" y="21115663"/>
              <a:ext cx="5209295" cy="187872"/>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indent="0" algn="l" defTabSz="914400" rtl="0" eaLnBrk="1" latinLnBrk="0" hangingPunct="1"/>
              <a14:m>
                <m:oMathPara xmlns:m="http://schemas.openxmlformats.org/officeDocument/2006/math">
                  <m:oMathParaPr>
                    <m:jc m:val="centerGroup"/>
                  </m:oMathParaPr>
                  <m:oMath xmlns:m="http://schemas.openxmlformats.org/officeDocument/2006/math">
                    <m:r>
                      <a:rPr lang="en-US" sz="1200" b="0" i="1" kern="1200">
                        <a:solidFill>
                          <a:schemeClr val="tx1"/>
                        </a:solidFill>
                        <a:latin typeface="Latin Modern Math" panose="02000503000000000000" pitchFamily="2" charset="77"/>
                        <a:ea typeface="Latin Modern Math" panose="02000503000000000000" pitchFamily="2" charset="77"/>
                        <a:cs typeface="+mn-cs"/>
                      </a:rPr>
                      <m:t>𝐹𝐶𝐹𝐹</m:t>
                    </m:r>
                    <m:r>
                      <a:rPr lang="en-US" sz="1200" b="0" i="1" kern="1200">
                        <a:solidFill>
                          <a:schemeClr val="tx1"/>
                        </a:solidFill>
                        <a:latin typeface="Latin Modern Math" panose="02000503000000000000" pitchFamily="2" charset="77"/>
                        <a:ea typeface="Latin Modern Math" panose="02000503000000000000" pitchFamily="2" charset="77"/>
                        <a:cs typeface="+mn-cs"/>
                      </a:rPr>
                      <m:t>=</m:t>
                    </m:r>
                    <m:r>
                      <a:rPr lang="en-US" sz="1200" b="0" i="1" kern="1200">
                        <a:solidFill>
                          <a:schemeClr val="tx1"/>
                        </a:solidFill>
                        <a:latin typeface="Latin Modern Math" panose="02000503000000000000" pitchFamily="2" charset="77"/>
                        <a:ea typeface="Latin Modern Math" panose="02000503000000000000" pitchFamily="2" charset="77"/>
                        <a:cs typeface="+mn-cs"/>
                      </a:rPr>
                      <m:t>𝑁𝐼</m:t>
                    </m:r>
                    <m:r>
                      <a:rPr lang="en-US" sz="1200" b="0" i="1" kern="1200">
                        <a:solidFill>
                          <a:schemeClr val="tx1"/>
                        </a:solidFill>
                        <a:latin typeface="Latin Modern Math" panose="02000503000000000000" pitchFamily="2" charset="77"/>
                        <a:ea typeface="Latin Modern Math" panose="02000503000000000000" pitchFamily="2" charset="77"/>
                        <a:cs typeface="+mn-cs"/>
                      </a:rPr>
                      <m:t>+</m:t>
                    </m:r>
                    <m:r>
                      <a:rPr lang="en-US" sz="1200" b="0" i="1" kern="1200">
                        <a:solidFill>
                          <a:schemeClr val="tx1"/>
                        </a:solidFill>
                        <a:latin typeface="Latin Modern Math" panose="02000503000000000000" pitchFamily="2" charset="77"/>
                        <a:ea typeface="Latin Modern Math" panose="02000503000000000000" pitchFamily="2" charset="77"/>
                        <a:cs typeface="+mn-cs"/>
                      </a:rPr>
                      <m:t>𝑁𝐶𝐶</m:t>
                    </m:r>
                    <m:r>
                      <a:rPr lang="en-US" sz="1200" b="0" i="1" kern="1200">
                        <a:solidFill>
                          <a:schemeClr val="tx1"/>
                        </a:solidFill>
                        <a:latin typeface="Latin Modern Math" panose="02000503000000000000" pitchFamily="2" charset="77"/>
                        <a:ea typeface="Latin Modern Math" panose="02000503000000000000" pitchFamily="2" charset="77"/>
                        <a:cs typeface="+mn-cs"/>
                      </a:rPr>
                      <m:t>+</m:t>
                    </m:r>
                    <m:r>
                      <a:rPr lang="en-US" sz="1200" b="0" i="1" kern="1200">
                        <a:solidFill>
                          <a:schemeClr val="tx1"/>
                        </a:solidFill>
                        <a:latin typeface="Latin Modern Math" panose="02000503000000000000" pitchFamily="2" charset="77"/>
                        <a:ea typeface="Latin Modern Math" panose="02000503000000000000" pitchFamily="2" charset="77"/>
                        <a:cs typeface="+mn-cs"/>
                      </a:rPr>
                      <m:t>𝐼𝑛𝑡</m:t>
                    </m:r>
                    <m:d>
                      <m:dPr>
                        <m:ctrlPr>
                          <a:rPr lang="en-US" sz="1200" b="0" i="1" kern="1200">
                            <a:solidFill>
                              <a:schemeClr val="tx1"/>
                            </a:solidFill>
                            <a:latin typeface="Latin Modern Math" panose="02000503000000000000" pitchFamily="2" charset="77"/>
                            <a:ea typeface="Latin Modern Math" panose="02000503000000000000" pitchFamily="2" charset="77"/>
                            <a:cs typeface="+mn-cs"/>
                          </a:rPr>
                        </m:ctrlPr>
                      </m:dPr>
                      <m:e>
                        <m:r>
                          <a:rPr lang="en-US" sz="1200" b="0" i="1" kern="1200">
                            <a:solidFill>
                              <a:schemeClr val="tx1"/>
                            </a:solidFill>
                            <a:latin typeface="Latin Modern Math" panose="02000503000000000000" pitchFamily="2" charset="77"/>
                            <a:ea typeface="Latin Modern Math" panose="02000503000000000000" pitchFamily="2" charset="77"/>
                            <a:cs typeface="+mn-cs"/>
                          </a:rPr>
                          <m:t>1−</m:t>
                        </m:r>
                        <m:r>
                          <a:rPr lang="en-US" sz="1200" b="0" i="1" kern="1200">
                            <a:solidFill>
                              <a:schemeClr val="tx1"/>
                            </a:solidFill>
                            <a:latin typeface="Latin Modern Math" panose="02000503000000000000" pitchFamily="2" charset="77"/>
                            <a:ea typeface="Latin Modern Math" panose="02000503000000000000" pitchFamily="2" charset="77"/>
                            <a:cs typeface="+mn-cs"/>
                          </a:rPr>
                          <m:t>𝑡</m:t>
                        </m:r>
                      </m:e>
                    </m:d>
                    <m:r>
                      <a:rPr lang="en-US" sz="1200" b="0" i="1" kern="1200">
                        <a:solidFill>
                          <a:schemeClr val="tx1"/>
                        </a:solidFill>
                        <a:latin typeface="Latin Modern Math" panose="02000503000000000000" pitchFamily="2" charset="77"/>
                        <a:ea typeface="Latin Modern Math" panose="02000503000000000000" pitchFamily="2" charset="77"/>
                        <a:cs typeface="+mn-cs"/>
                      </a:rPr>
                      <m:t>+</m:t>
                    </m:r>
                    <m:r>
                      <a:rPr lang="en-US" sz="1200" b="0" i="1" kern="1200">
                        <a:solidFill>
                          <a:schemeClr val="tx1"/>
                        </a:solidFill>
                        <a:latin typeface="Latin Modern Math" panose="02000503000000000000" pitchFamily="2" charset="77"/>
                        <a:ea typeface="Latin Modern Math" panose="02000503000000000000" pitchFamily="2" charset="77"/>
                        <a:cs typeface="+mn-cs"/>
                      </a:rPr>
                      <m:t>𝑃𝑟𝑒𝑓𝑒𝑟𝑟𝑒𝑑</m:t>
                    </m:r>
                    <m:r>
                      <a:rPr lang="en-US" sz="1200" b="0" i="1" kern="1200">
                        <a:solidFill>
                          <a:schemeClr val="tx1"/>
                        </a:solidFill>
                        <a:latin typeface="Latin Modern Math" panose="02000503000000000000" pitchFamily="2" charset="77"/>
                        <a:ea typeface="Latin Modern Math" panose="02000503000000000000" pitchFamily="2" charset="77"/>
                        <a:cs typeface="+mn-cs"/>
                      </a:rPr>
                      <m:t> </m:t>
                    </m:r>
                    <m:r>
                      <a:rPr lang="en-US" sz="1200" b="0" i="1" kern="1200">
                        <a:solidFill>
                          <a:schemeClr val="tx1"/>
                        </a:solidFill>
                        <a:latin typeface="Latin Modern Math" panose="02000503000000000000" pitchFamily="2" charset="77"/>
                        <a:ea typeface="Latin Modern Math" panose="02000503000000000000" pitchFamily="2" charset="77"/>
                        <a:cs typeface="+mn-cs"/>
                      </a:rPr>
                      <m:t>𝑑𝑖𝑣𝑖𝑑𝑒𝑛𝑑𝑠</m:t>
                    </m:r>
                    <m:r>
                      <a:rPr lang="en-US" sz="1200" b="0" i="1" kern="1200">
                        <a:solidFill>
                          <a:schemeClr val="tx1"/>
                        </a:solidFill>
                        <a:latin typeface="Latin Modern Math" panose="02000503000000000000" pitchFamily="2" charset="77"/>
                        <a:ea typeface="Latin Modern Math" panose="02000503000000000000" pitchFamily="2" charset="77"/>
                        <a:cs typeface="+mn-cs"/>
                      </a:rPr>
                      <m:t>−</m:t>
                    </m:r>
                    <m:r>
                      <a:rPr lang="en-US" sz="1200" b="0" i="1" kern="1200">
                        <a:solidFill>
                          <a:schemeClr val="tx1"/>
                        </a:solidFill>
                        <a:latin typeface="Latin Modern Math" panose="02000503000000000000" pitchFamily="2" charset="77"/>
                        <a:ea typeface="Latin Modern Math" panose="02000503000000000000" pitchFamily="2" charset="77"/>
                        <a:cs typeface="+mn-cs"/>
                      </a:rPr>
                      <m:t>𝐹𝐶𝐼𝑛𝑣</m:t>
                    </m:r>
                    <m:r>
                      <a:rPr lang="en-US" sz="1200" b="0" i="1" kern="1200">
                        <a:solidFill>
                          <a:schemeClr val="tx1"/>
                        </a:solidFill>
                        <a:latin typeface="Latin Modern Math" panose="02000503000000000000" pitchFamily="2" charset="77"/>
                        <a:ea typeface="Latin Modern Math" panose="02000503000000000000" pitchFamily="2" charset="77"/>
                        <a:cs typeface="+mn-cs"/>
                      </a:rPr>
                      <m:t>−</m:t>
                    </m:r>
                    <m:r>
                      <a:rPr lang="en-US" sz="1200" b="0" i="1" kern="1200">
                        <a:solidFill>
                          <a:schemeClr val="tx1"/>
                        </a:solidFill>
                        <a:latin typeface="Latin Modern Math" panose="02000503000000000000" pitchFamily="2" charset="77"/>
                        <a:ea typeface="Latin Modern Math" panose="02000503000000000000" pitchFamily="2" charset="77"/>
                        <a:cs typeface="+mn-cs"/>
                      </a:rPr>
                      <m:t>𝑊𝐶𝐼𝑛𝑣</m:t>
                    </m:r>
                  </m:oMath>
                </m:oMathPara>
              </a14:m>
              <a:endParaRPr lang="en-US" sz="1200" b="0" i="1" kern="1200">
                <a:solidFill>
                  <a:schemeClr val="tx1"/>
                </a:solidFill>
                <a:latin typeface="Symbol" pitchFamily="2" charset="2"/>
                <a:ea typeface="Latin Modern Math" panose="02000503000000000000" pitchFamily="2" charset="77"/>
                <a:cs typeface="+mn-cs"/>
              </a:endParaRPr>
            </a:p>
          </xdr:txBody>
        </xdr:sp>
      </mc:Choice>
      <mc:Fallback>
        <xdr:sp macro="" textlink="">
          <xdr:nvSpPr>
            <xdr:cNvPr id="4" name="TextBox 3">
              <a:extLst>
                <a:ext uri="{FF2B5EF4-FFF2-40B4-BE49-F238E27FC236}">
                  <a16:creationId xmlns:a16="http://schemas.microsoft.com/office/drawing/2014/main" id="{5EC9C0CD-2F9E-E84E-A15A-E55E7E2E5412}"/>
                </a:ext>
              </a:extLst>
            </xdr:cNvPr>
            <xdr:cNvSpPr txBox="1"/>
          </xdr:nvSpPr>
          <xdr:spPr>
            <a:xfrm>
              <a:off x="3170945" y="21115663"/>
              <a:ext cx="5209295" cy="187872"/>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marL="0" indent="0" algn="l" defTabSz="914400" rtl="0" eaLnBrk="1" latinLnBrk="0" hangingPunct="1"/>
              <a:r>
                <a:rPr lang="en-US" sz="1200" b="0" i="0" kern="1200">
                  <a:solidFill>
                    <a:schemeClr val="tx1"/>
                  </a:solidFill>
                  <a:latin typeface="Latin Modern Math" panose="02000503000000000000" pitchFamily="2" charset="77"/>
                  <a:ea typeface="Latin Modern Math" panose="02000503000000000000" pitchFamily="2" charset="77"/>
                  <a:cs typeface="+mn-cs"/>
                </a:rPr>
                <a:t>𝐹𝐶𝐹𝐹=𝑁𝐼+𝑁𝐶𝐶+𝐼𝑛𝑡(1−𝑡)+𝑃𝑟𝑒𝑓𝑒𝑟𝑟𝑒𝑑 𝑑𝑖𝑣𝑖𝑑𝑒𝑛𝑑𝑠−𝐹𝐶𝐼𝑛𝑣−𝑊𝐶𝐼𝑛𝑣</a:t>
              </a:r>
              <a:endParaRPr lang="en-US" sz="1200" b="0" i="1" kern="1200">
                <a:solidFill>
                  <a:schemeClr val="tx1"/>
                </a:solidFill>
                <a:latin typeface="Symbol" pitchFamily="2" charset="2"/>
                <a:ea typeface="Latin Modern Math" panose="02000503000000000000" pitchFamily="2" charset="77"/>
                <a:cs typeface="+mn-cs"/>
              </a:endParaRPr>
            </a:p>
          </xdr:txBody>
        </xdr:sp>
      </mc:Fallback>
    </mc:AlternateContent>
    <xdr:clientData/>
  </xdr:twoCellAnchor>
  <xdr:twoCellAnchor>
    <xdr:from>
      <xdr:col>0</xdr:col>
      <xdr:colOff>655259</xdr:colOff>
      <xdr:row>115</xdr:row>
      <xdr:rowOff>135255</xdr:rowOff>
    </xdr:from>
    <xdr:to>
      <xdr:col>2</xdr:col>
      <xdr:colOff>832127</xdr:colOff>
      <xdr:row>117</xdr:row>
      <xdr:rowOff>132866</xdr:rowOff>
    </xdr:to>
    <mc:AlternateContent xmlns:mc="http://schemas.openxmlformats.org/markup-compatibility/2006">
      <mc:Choice xmlns:a14="http://schemas.microsoft.com/office/drawing/2010/main" Requires="a14">
        <xdr:sp macro="" textlink="">
          <xdr:nvSpPr>
            <xdr:cNvPr id="5" name="3 CuadroTexto">
              <a:extLst>
                <a:ext uri="{FF2B5EF4-FFF2-40B4-BE49-F238E27FC236}">
                  <a16:creationId xmlns:a16="http://schemas.microsoft.com/office/drawing/2014/main" id="{8C0D43F7-8BCC-2B46-AF78-7E49EA3416DB}"/>
                </a:ext>
              </a:extLst>
            </xdr:cNvPr>
            <xdr:cNvSpPr txBox="1"/>
          </xdr:nvSpPr>
          <xdr:spPr>
            <a:xfrm>
              <a:off x="655259" y="10485755"/>
              <a:ext cx="1929468" cy="391311"/>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14:m>
                <m:oMath xmlns:m="http://schemas.openxmlformats.org/officeDocument/2006/math">
                  <m:r>
                    <m:rPr>
                      <m:sty m:val="p"/>
                    </m:rPr>
                    <a:rPr lang="es-AR" sz="1200">
                      <a:latin typeface="Cambria Math"/>
                    </a:rPr>
                    <m:t>F</m:t>
                  </m:r>
                  <m:r>
                    <m:rPr>
                      <m:sty m:val="p"/>
                    </m:rPr>
                    <a:rPr lang="es-AR" sz="1200" b="0" i="0">
                      <a:latin typeface="Cambria Math"/>
                    </a:rPr>
                    <m:t>irm</m:t>
                  </m:r>
                  <m:r>
                    <a:rPr lang="es-AR" sz="1200" b="0" i="0">
                      <a:latin typeface="Cambria Math"/>
                    </a:rPr>
                    <m:t> </m:t>
                  </m:r>
                  <m:r>
                    <m:rPr>
                      <m:sty m:val="p"/>
                    </m:rPr>
                    <a:rPr lang="es-AR" sz="1200" b="0" i="0">
                      <a:latin typeface="Cambria Math"/>
                    </a:rPr>
                    <m:t>Value</m:t>
                  </m:r>
                  <m:r>
                    <a:rPr lang="es-AR" sz="1200">
                      <a:latin typeface="Cambria Math"/>
                    </a:rPr>
                    <m:t>=</m:t>
                  </m:r>
                </m:oMath>
              </a14:m>
              <a:r>
                <a:rPr lang="es-AR" sz="1200"/>
                <a:t> </a:t>
              </a:r>
              <a14:m>
                <m:oMath xmlns:m="http://schemas.openxmlformats.org/officeDocument/2006/math">
                  <m:f>
                    <m:fPr>
                      <m:ctrlPr>
                        <a:rPr lang="es-AR" sz="1200" i="1">
                          <a:latin typeface="Cambria Math" panose="02040503050406030204" pitchFamily="18" charset="0"/>
                        </a:rPr>
                      </m:ctrlPr>
                    </m:fPr>
                    <m:num>
                      <m:sSub>
                        <m:sSubPr>
                          <m:ctrlPr>
                            <a:rPr lang="es-AR" sz="1200" i="1">
                              <a:latin typeface="Cambria Math" panose="02040503050406030204" pitchFamily="18" charset="0"/>
                            </a:rPr>
                          </m:ctrlPr>
                        </m:sSubPr>
                        <m:e>
                          <m:r>
                            <a:rPr lang="es-AR" sz="1200">
                              <a:latin typeface="Cambria Math"/>
                            </a:rPr>
                            <m:t>𝐹𝐶𝐹𝐹</m:t>
                          </m:r>
                        </m:e>
                        <m:sub>
                          <m:r>
                            <a:rPr lang="en-US" sz="1200" b="0" i="1">
                              <a:latin typeface="Cambria Math" panose="02040503050406030204" pitchFamily="18" charset="0"/>
                            </a:rPr>
                            <m:t>1</m:t>
                          </m:r>
                        </m:sub>
                      </m:sSub>
                    </m:num>
                    <m:den>
                      <m:r>
                        <a:rPr lang="en-US" sz="1200" b="0" i="1">
                          <a:latin typeface="Cambria Math" panose="02040503050406030204" pitchFamily="18" charset="0"/>
                        </a:rPr>
                        <m:t>𝑊𝐴𝐶𝐶</m:t>
                      </m:r>
                      <m:r>
                        <a:rPr lang="en-US" sz="1200" b="0" i="1">
                          <a:latin typeface="Cambria Math" panose="02040503050406030204" pitchFamily="18" charset="0"/>
                        </a:rPr>
                        <m:t>−</m:t>
                      </m:r>
                      <m:r>
                        <a:rPr lang="en-US" sz="1200" b="0" i="1">
                          <a:latin typeface="Cambria Math" panose="02040503050406030204" pitchFamily="18" charset="0"/>
                        </a:rPr>
                        <m:t>𝑔</m:t>
                      </m:r>
                    </m:den>
                  </m:f>
                  <m:r>
                    <a:rPr lang="en-US" sz="1200" b="0" i="1">
                      <a:latin typeface="Cambria Math" panose="02040503050406030204" pitchFamily="18" charset="0"/>
                    </a:rPr>
                    <m:t>=</m:t>
                  </m:r>
                </m:oMath>
              </a14:m>
              <a:endParaRPr lang="es-AR" sz="1200"/>
            </a:p>
          </xdr:txBody>
        </xdr:sp>
      </mc:Choice>
      <mc:Fallback>
        <xdr:sp macro="" textlink="">
          <xdr:nvSpPr>
            <xdr:cNvPr id="5" name="3 CuadroTexto">
              <a:extLst>
                <a:ext uri="{FF2B5EF4-FFF2-40B4-BE49-F238E27FC236}">
                  <a16:creationId xmlns:a16="http://schemas.microsoft.com/office/drawing/2014/main" id="{8C0D43F7-8BCC-2B46-AF78-7E49EA3416DB}"/>
                </a:ext>
              </a:extLst>
            </xdr:cNvPr>
            <xdr:cNvSpPr txBox="1"/>
          </xdr:nvSpPr>
          <xdr:spPr>
            <a:xfrm>
              <a:off x="655259" y="10485755"/>
              <a:ext cx="1929468" cy="391311"/>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r>
                <a:rPr lang="es-AR" sz="1200" i="0">
                  <a:latin typeface="Cambria Math"/>
                </a:rPr>
                <a:t>F</a:t>
              </a:r>
              <a:r>
                <a:rPr lang="es-AR" sz="1200" b="0" i="0">
                  <a:latin typeface="Cambria Math"/>
                </a:rPr>
                <a:t>irm Value</a:t>
              </a:r>
              <a:r>
                <a:rPr lang="es-AR" sz="1200" i="0">
                  <a:latin typeface="Cambria Math"/>
                </a:rPr>
                <a:t>=</a:t>
              </a:r>
              <a:r>
                <a:rPr lang="es-AR" sz="1200"/>
                <a:t> </a:t>
              </a:r>
              <a:r>
                <a:rPr lang="es-AR" sz="1200" i="0">
                  <a:latin typeface="Cambria Math" panose="02040503050406030204" pitchFamily="18" charset="0"/>
                </a:rPr>
                <a:t>〖</a:t>
              </a:r>
              <a:r>
                <a:rPr lang="es-AR" sz="1200" i="0">
                  <a:latin typeface="Cambria Math"/>
                </a:rPr>
                <a:t>𝐹𝐶𝐹𝐹</a:t>
              </a:r>
              <a:r>
                <a:rPr lang="es-AR" sz="1200" i="0">
                  <a:latin typeface="Cambria Math" panose="02040503050406030204" pitchFamily="18" charset="0"/>
                </a:rPr>
                <a:t>〗_</a:t>
              </a:r>
              <a:r>
                <a:rPr lang="en-US" sz="1200" b="0" i="0">
                  <a:latin typeface="Cambria Math" panose="02040503050406030204" pitchFamily="18" charset="0"/>
                </a:rPr>
                <a:t>1</a:t>
              </a:r>
              <a:r>
                <a:rPr lang="es-AR" sz="1200" b="0" i="0">
                  <a:latin typeface="Cambria Math" panose="02040503050406030204" pitchFamily="18" charset="0"/>
                </a:rPr>
                <a:t>/(</a:t>
              </a:r>
              <a:r>
                <a:rPr lang="en-US" sz="1200" b="0" i="0">
                  <a:latin typeface="Cambria Math" panose="02040503050406030204" pitchFamily="18" charset="0"/>
                </a:rPr>
                <a:t>𝑊𝐴𝐶𝐶−𝑔</a:t>
              </a:r>
              <a:r>
                <a:rPr lang="es-AR" sz="1200" b="0" i="0">
                  <a:latin typeface="Cambria Math" panose="02040503050406030204" pitchFamily="18" charset="0"/>
                </a:rPr>
                <a:t>)</a:t>
              </a:r>
              <a:r>
                <a:rPr lang="en-US" sz="1200" b="0" i="0">
                  <a:latin typeface="Cambria Math" panose="02040503050406030204" pitchFamily="18" charset="0"/>
                </a:rPr>
                <a:t>=</a:t>
              </a:r>
              <a:endParaRPr lang="es-AR" sz="1200"/>
            </a:p>
          </xdr:txBody>
        </xdr:sp>
      </mc:Fallback>
    </mc:AlternateContent>
    <xdr:clientData/>
  </xdr:twoCellAnchor>
  <xdr:twoCellAnchor>
    <xdr:from>
      <xdr:col>1</xdr:col>
      <xdr:colOff>302895</xdr:colOff>
      <xdr:row>119</xdr:row>
      <xdr:rowOff>107427</xdr:rowOff>
    </xdr:from>
    <xdr:to>
      <xdr:col>3</xdr:col>
      <xdr:colOff>76200</xdr:colOff>
      <xdr:row>121</xdr:row>
      <xdr:rowOff>18062</xdr:rowOff>
    </xdr:to>
    <mc:AlternateContent xmlns:mc="http://schemas.openxmlformats.org/markup-compatibility/2006">
      <mc:Choice xmlns:a14="http://schemas.microsoft.com/office/drawing/2010/main" Requires="a14">
        <xdr:sp macro="" textlink="">
          <xdr:nvSpPr>
            <xdr:cNvPr id="6" name="6 CuadroTexto">
              <a:extLst>
                <a:ext uri="{FF2B5EF4-FFF2-40B4-BE49-F238E27FC236}">
                  <a16:creationId xmlns:a16="http://schemas.microsoft.com/office/drawing/2014/main" id="{4FDA0555-414C-714C-8E10-2F21223F3B55}"/>
                </a:ext>
              </a:extLst>
            </xdr:cNvPr>
            <xdr:cNvSpPr txBox="1"/>
          </xdr:nvSpPr>
          <xdr:spPr>
            <a:xfrm>
              <a:off x="1179195" y="11232627"/>
              <a:ext cx="1652905" cy="291635"/>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m:rPr>
                        <m:sty m:val="p"/>
                      </m:rPr>
                      <a:rPr lang="es-AR" sz="1200" b="0" i="0">
                        <a:latin typeface="Cambria Math"/>
                      </a:rPr>
                      <m:t>Equity</m:t>
                    </m:r>
                    <m:r>
                      <a:rPr lang="es-AR" sz="1200" b="0" i="0">
                        <a:latin typeface="Cambria Math"/>
                      </a:rPr>
                      <m:t> </m:t>
                    </m:r>
                    <m:r>
                      <m:rPr>
                        <m:sty m:val="p"/>
                      </m:rPr>
                      <a:rPr lang="es-AR" sz="1200" b="0" i="0">
                        <a:latin typeface="Cambria Math"/>
                      </a:rPr>
                      <m:t>value</m:t>
                    </m:r>
                    <m:r>
                      <a:rPr lang="es-AR" sz="1200" b="0" i="0">
                        <a:latin typeface="Cambria Math"/>
                      </a:rPr>
                      <m:t>=</m:t>
                    </m:r>
                  </m:oMath>
                </m:oMathPara>
              </a14:m>
              <a:endParaRPr lang="es-AR" sz="1200"/>
            </a:p>
          </xdr:txBody>
        </xdr:sp>
      </mc:Choice>
      <mc:Fallback>
        <xdr:sp macro="" textlink="">
          <xdr:nvSpPr>
            <xdr:cNvPr id="6" name="6 CuadroTexto">
              <a:extLst>
                <a:ext uri="{FF2B5EF4-FFF2-40B4-BE49-F238E27FC236}">
                  <a16:creationId xmlns:a16="http://schemas.microsoft.com/office/drawing/2014/main" id="{4FDA0555-414C-714C-8E10-2F21223F3B55}"/>
                </a:ext>
              </a:extLst>
            </xdr:cNvPr>
            <xdr:cNvSpPr txBox="1"/>
          </xdr:nvSpPr>
          <xdr:spPr>
            <a:xfrm>
              <a:off x="1179195" y="11232627"/>
              <a:ext cx="1652905" cy="291635"/>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s-AR" sz="1200" b="0" i="0">
                  <a:latin typeface="Cambria Math"/>
                </a:rPr>
                <a:t>Equity value=</a:t>
              </a:r>
              <a:endParaRPr lang="es-AR" sz="1200"/>
            </a:p>
          </xdr:txBody>
        </xdr:sp>
      </mc:Fallback>
    </mc:AlternateContent>
    <xdr:clientData/>
  </xdr:twoCellAnchor>
  <xdr:twoCellAnchor>
    <xdr:from>
      <xdr:col>3</xdr:col>
      <xdr:colOff>47625</xdr:colOff>
      <xdr:row>126</xdr:row>
      <xdr:rowOff>40006</xdr:rowOff>
    </xdr:from>
    <xdr:to>
      <xdr:col>9</xdr:col>
      <xdr:colOff>145362</xdr:colOff>
      <xdr:row>127</xdr:row>
      <xdr:rowOff>21248</xdr:rowOff>
    </xdr:to>
    <mc:AlternateContent xmlns:mc="http://schemas.openxmlformats.org/markup-compatibility/2006">
      <mc:Choice xmlns:a14="http://schemas.microsoft.com/office/drawing/2010/main" Requires="a14">
        <xdr:sp macro="" textlink="">
          <xdr:nvSpPr>
            <xdr:cNvPr id="7" name="TextBox 4">
              <a:extLst>
                <a:ext uri="{FF2B5EF4-FFF2-40B4-BE49-F238E27FC236}">
                  <a16:creationId xmlns:a16="http://schemas.microsoft.com/office/drawing/2014/main" id="{862CBDCE-B316-3247-AB16-822CC8A24E10}"/>
                </a:ext>
              </a:extLst>
            </xdr:cNvPr>
            <xdr:cNvSpPr txBox="1"/>
          </xdr:nvSpPr>
          <xdr:spPr>
            <a:xfrm>
              <a:off x="2526420" y="26763560"/>
              <a:ext cx="5116532" cy="18780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a:rPr lang="en-US" sz="1200" b="0" i="1">
                        <a:latin typeface="Cambria Math" panose="02040503050406030204" pitchFamily="18" charset="0"/>
                      </a:rPr>
                      <m:t>𝐹𝐶𝐹𝐸</m:t>
                    </m:r>
                    <m:r>
                      <a:rPr lang="en-US" sz="1200" b="0" i="1">
                        <a:latin typeface="Cambria Math" panose="02040503050406030204" pitchFamily="18" charset="0"/>
                      </a:rPr>
                      <m:t>=</m:t>
                    </m:r>
                    <m:r>
                      <a:rPr lang="en-US" sz="1200" b="0" i="1">
                        <a:latin typeface="Cambria Math" panose="02040503050406030204" pitchFamily="18" charset="0"/>
                      </a:rPr>
                      <m:t>𝑁𝐼</m:t>
                    </m:r>
                    <m:r>
                      <a:rPr lang="en-US" sz="1200" b="0" i="1">
                        <a:latin typeface="Cambria Math" panose="02040503050406030204" pitchFamily="18" charset="0"/>
                      </a:rPr>
                      <m:t>+</m:t>
                    </m:r>
                    <m:r>
                      <a:rPr lang="en-US" sz="1200" b="0" i="1">
                        <a:latin typeface="Cambria Math" panose="02040503050406030204" pitchFamily="18" charset="0"/>
                      </a:rPr>
                      <m:t>𝑁𝐶𝐶</m:t>
                    </m:r>
                    <m:r>
                      <a:rPr lang="en-US" sz="1200" b="0" i="1">
                        <a:latin typeface="Cambria Math" panose="02040503050406030204" pitchFamily="18" charset="0"/>
                      </a:rPr>
                      <m:t>−</m:t>
                    </m:r>
                    <m:r>
                      <a:rPr lang="en-US" sz="1200" b="0" i="1">
                        <a:latin typeface="Cambria Math" panose="02040503050406030204" pitchFamily="18" charset="0"/>
                      </a:rPr>
                      <m:t>𝐹𝐶𝐼𝑛𝑣</m:t>
                    </m:r>
                    <m:r>
                      <a:rPr lang="en-US" sz="1200" b="0" i="1">
                        <a:latin typeface="Cambria Math" panose="02040503050406030204" pitchFamily="18" charset="0"/>
                      </a:rPr>
                      <m:t>−</m:t>
                    </m:r>
                    <m:r>
                      <a:rPr lang="en-US" sz="1200" b="0" i="1">
                        <a:latin typeface="Cambria Math" panose="02040503050406030204" pitchFamily="18" charset="0"/>
                      </a:rPr>
                      <m:t>𝑊𝐶𝐼𝑛𝑣</m:t>
                    </m:r>
                    <m:r>
                      <a:rPr lang="en-US" sz="1200" b="0" i="1">
                        <a:latin typeface="Cambria Math" panose="02040503050406030204" pitchFamily="18" charset="0"/>
                      </a:rPr>
                      <m:t>+</m:t>
                    </m:r>
                    <m:r>
                      <a:rPr lang="en-US" sz="1200" b="0" i="1">
                        <a:latin typeface="Cambria Math" panose="02040503050406030204" pitchFamily="18" charset="0"/>
                      </a:rPr>
                      <m:t>𝑁𝑒𝑡</m:t>
                    </m:r>
                    <m:r>
                      <a:rPr lang="en-US" sz="1200" b="0" i="1">
                        <a:latin typeface="Cambria Math" panose="02040503050406030204" pitchFamily="18" charset="0"/>
                      </a:rPr>
                      <m:t> </m:t>
                    </m:r>
                    <m:r>
                      <a:rPr lang="en-US" sz="1200" b="0" i="1">
                        <a:latin typeface="Cambria Math" panose="02040503050406030204" pitchFamily="18" charset="0"/>
                      </a:rPr>
                      <m:t>𝐵𝑜𝑟𝑟𝑜𝑤𝑖𝑛𝑔</m:t>
                    </m:r>
                  </m:oMath>
                </m:oMathPara>
              </a14:m>
              <a:endParaRPr lang="en-US" sz="1200"/>
            </a:p>
          </xdr:txBody>
        </xdr:sp>
      </mc:Choice>
      <mc:Fallback>
        <xdr:sp macro="" textlink="">
          <xdr:nvSpPr>
            <xdr:cNvPr id="7" name="TextBox 4">
              <a:extLst>
                <a:ext uri="{FF2B5EF4-FFF2-40B4-BE49-F238E27FC236}">
                  <a16:creationId xmlns:a16="http://schemas.microsoft.com/office/drawing/2014/main" id="{862CBDCE-B316-3247-AB16-822CC8A24E10}"/>
                </a:ext>
              </a:extLst>
            </xdr:cNvPr>
            <xdr:cNvSpPr txBox="1"/>
          </xdr:nvSpPr>
          <xdr:spPr>
            <a:xfrm>
              <a:off x="2526420" y="26763560"/>
              <a:ext cx="5116532" cy="18780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sz="1200" b="0" i="0">
                  <a:latin typeface="Cambria Math" panose="02040503050406030204" pitchFamily="18" charset="0"/>
                </a:rPr>
                <a:t>𝐹𝐶𝐹𝐸=𝑁𝐼+𝑁𝐶𝐶−𝐹𝐶𝐼𝑛𝑣−𝑊𝐶𝐼𝑛𝑣+𝑁𝑒𝑡 𝐵𝑜𝑟𝑟𝑜𝑤𝑖𝑛𝑔</a:t>
              </a:r>
              <a:endParaRPr lang="en-US" sz="1200"/>
            </a:p>
          </xdr:txBody>
        </xdr:sp>
      </mc:Fallback>
    </mc:AlternateContent>
    <xdr:clientData/>
  </xdr:twoCellAnchor>
  <xdr:twoCellAnchor>
    <xdr:from>
      <xdr:col>3</xdr:col>
      <xdr:colOff>0</xdr:colOff>
      <xdr:row>128</xdr:row>
      <xdr:rowOff>0</xdr:rowOff>
    </xdr:from>
    <xdr:to>
      <xdr:col>9</xdr:col>
      <xdr:colOff>88900</xdr:colOff>
      <xdr:row>128</xdr:row>
      <xdr:rowOff>187808</xdr:rowOff>
    </xdr:to>
    <mc:AlternateContent xmlns:mc="http://schemas.openxmlformats.org/markup-compatibility/2006">
      <mc:Choice xmlns:a14="http://schemas.microsoft.com/office/drawing/2010/main" Requires="a14">
        <xdr:sp macro="" textlink="">
          <xdr:nvSpPr>
            <xdr:cNvPr id="8" name="TextBox 4">
              <a:extLst>
                <a:ext uri="{FF2B5EF4-FFF2-40B4-BE49-F238E27FC236}">
                  <a16:creationId xmlns:a16="http://schemas.microsoft.com/office/drawing/2014/main" id="{DD42FB50-ACA8-C040-AEBD-71076B669D7B}"/>
                </a:ext>
              </a:extLst>
            </xdr:cNvPr>
            <xdr:cNvSpPr txBox="1"/>
          </xdr:nvSpPr>
          <xdr:spPr>
            <a:xfrm>
              <a:off x="2476500" y="26720800"/>
              <a:ext cx="5041900" cy="18780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a:rPr lang="en-US" sz="1200" b="0" i="1">
                        <a:latin typeface="Cambria Math" panose="02040503050406030204" pitchFamily="18" charset="0"/>
                      </a:rPr>
                      <m:t>𝐹𝐶𝐹𝐸</m:t>
                    </m:r>
                    <m:r>
                      <a:rPr lang="en-US" sz="1200" b="0" i="1">
                        <a:latin typeface="Cambria Math" panose="02040503050406030204" pitchFamily="18" charset="0"/>
                      </a:rPr>
                      <m:t>=</m:t>
                    </m:r>
                    <m:r>
                      <a:rPr lang="en-US" sz="1200" b="0" i="1">
                        <a:latin typeface="Cambria Math" panose="02040503050406030204" pitchFamily="18" charset="0"/>
                      </a:rPr>
                      <m:t>𝑁𝐼</m:t>
                    </m:r>
                    <m:r>
                      <a:rPr lang="en-US" sz="1200" b="0" i="1">
                        <a:latin typeface="Cambria Math" panose="02040503050406030204" pitchFamily="18" charset="0"/>
                      </a:rPr>
                      <m:t>+</m:t>
                    </m:r>
                    <m:r>
                      <a:rPr lang="en-US" sz="1200" b="0" i="1">
                        <a:latin typeface="Cambria Math" panose="02040503050406030204" pitchFamily="18" charset="0"/>
                      </a:rPr>
                      <m:t>𝑁𝐶𝐶</m:t>
                    </m:r>
                    <m:r>
                      <a:rPr lang="en-US" sz="1200" b="0" i="1">
                        <a:latin typeface="Cambria Math" panose="02040503050406030204" pitchFamily="18" charset="0"/>
                      </a:rPr>
                      <m:t>−</m:t>
                    </m:r>
                    <m:r>
                      <a:rPr lang="en-US" sz="1200" b="0" i="1">
                        <a:latin typeface="Cambria Math" panose="02040503050406030204" pitchFamily="18" charset="0"/>
                      </a:rPr>
                      <m:t>𝐹𝐶𝐼𝑛𝑣</m:t>
                    </m:r>
                    <m:r>
                      <a:rPr lang="en-US" sz="1200" b="0" i="1">
                        <a:latin typeface="Cambria Math" panose="02040503050406030204" pitchFamily="18" charset="0"/>
                      </a:rPr>
                      <m:t>−</m:t>
                    </m:r>
                    <m:r>
                      <a:rPr lang="en-US" sz="1200" b="0" i="1">
                        <a:latin typeface="Cambria Math" panose="02040503050406030204" pitchFamily="18" charset="0"/>
                      </a:rPr>
                      <m:t>𝑊𝐶𝐼𝑛𝑣</m:t>
                    </m:r>
                    <m:r>
                      <a:rPr lang="en-US" sz="1200" b="0" i="1">
                        <a:latin typeface="Cambria Math" panose="02040503050406030204" pitchFamily="18" charset="0"/>
                      </a:rPr>
                      <m:t>+</m:t>
                    </m:r>
                    <m:r>
                      <a:rPr lang="en-US" sz="1200" b="0" i="1">
                        <a:latin typeface="Cambria Math" panose="02040503050406030204" pitchFamily="18" charset="0"/>
                      </a:rPr>
                      <m:t>𝑁𝑒𝑡</m:t>
                    </m:r>
                    <m:r>
                      <a:rPr lang="en-US" sz="1200" b="0" i="1">
                        <a:latin typeface="Cambria Math" panose="02040503050406030204" pitchFamily="18" charset="0"/>
                      </a:rPr>
                      <m:t> </m:t>
                    </m:r>
                    <m:r>
                      <a:rPr lang="en-US" sz="1200" b="0" i="1">
                        <a:latin typeface="Cambria Math" panose="02040503050406030204" pitchFamily="18" charset="0"/>
                      </a:rPr>
                      <m:t>𝐵𝑜𝑟𝑟𝑜𝑤𝑖𝑛𝑔</m:t>
                    </m:r>
                  </m:oMath>
                </m:oMathPara>
              </a14:m>
              <a:endParaRPr lang="en-US" sz="1200"/>
            </a:p>
          </xdr:txBody>
        </xdr:sp>
      </mc:Choice>
      <mc:Fallback>
        <xdr:sp macro="" textlink="">
          <xdr:nvSpPr>
            <xdr:cNvPr id="8" name="TextBox 4">
              <a:extLst>
                <a:ext uri="{FF2B5EF4-FFF2-40B4-BE49-F238E27FC236}">
                  <a16:creationId xmlns:a16="http://schemas.microsoft.com/office/drawing/2014/main" id="{DD42FB50-ACA8-C040-AEBD-71076B669D7B}"/>
                </a:ext>
              </a:extLst>
            </xdr:cNvPr>
            <xdr:cNvSpPr txBox="1"/>
          </xdr:nvSpPr>
          <xdr:spPr>
            <a:xfrm>
              <a:off x="2476500" y="26720800"/>
              <a:ext cx="5041900" cy="18780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sz="1200" b="0" i="0">
                  <a:latin typeface="Cambria Math" panose="02040503050406030204" pitchFamily="18" charset="0"/>
                </a:rPr>
                <a:t>𝐹𝐶𝐹𝐸=𝑁𝐼+𝑁𝐶𝐶−𝐹𝐶𝐼𝑛𝑣−𝑊𝐶𝐼𝑛𝑣+𝑁𝑒𝑡 𝐵𝑜𝑟𝑟𝑜𝑤𝑖𝑛𝑔</a:t>
              </a:r>
              <a:endParaRPr lang="en-US" sz="1200"/>
            </a:p>
          </xdr:txBody>
        </xdr:sp>
      </mc:Fallback>
    </mc:AlternateContent>
    <xdr:clientData/>
  </xdr:twoCellAnchor>
  <xdr:twoCellAnchor>
    <xdr:from>
      <xdr:col>0</xdr:col>
      <xdr:colOff>659131</xdr:colOff>
      <xdr:row>146</xdr:row>
      <xdr:rowOff>26670</xdr:rowOff>
    </xdr:from>
    <xdr:to>
      <xdr:col>3</xdr:col>
      <xdr:colOff>95250</xdr:colOff>
      <xdr:row>148</xdr:row>
      <xdr:rowOff>94414</xdr:rowOff>
    </xdr:to>
    <mc:AlternateContent xmlns:mc="http://schemas.openxmlformats.org/markup-compatibility/2006">
      <mc:Choice xmlns:a14="http://schemas.microsoft.com/office/drawing/2010/main" Requires="a14">
        <xdr:sp macro="" textlink="">
          <xdr:nvSpPr>
            <xdr:cNvPr id="9" name="3 CuadroTexto">
              <a:extLst>
                <a:ext uri="{FF2B5EF4-FFF2-40B4-BE49-F238E27FC236}">
                  <a16:creationId xmlns:a16="http://schemas.microsoft.com/office/drawing/2014/main" id="{CD1CB858-5416-D04A-BE04-A881D51F7EF1}"/>
                </a:ext>
              </a:extLst>
            </xdr:cNvPr>
            <xdr:cNvSpPr txBox="1"/>
          </xdr:nvSpPr>
          <xdr:spPr>
            <a:xfrm>
              <a:off x="659131" y="16485870"/>
              <a:ext cx="2192019" cy="474144"/>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r>
                      <m:rPr>
                        <m:sty m:val="p"/>
                      </m:rPr>
                      <a:rPr lang="es-AR" sz="1200">
                        <a:latin typeface="Cambria Math"/>
                      </a:rPr>
                      <m:t>Equity</m:t>
                    </m:r>
                    <m:r>
                      <a:rPr lang="es-AR" sz="1200">
                        <a:latin typeface="Cambria Math"/>
                      </a:rPr>
                      <m:t> </m:t>
                    </m:r>
                    <m:r>
                      <m:rPr>
                        <m:sty m:val="p"/>
                      </m:rPr>
                      <a:rPr lang="es-AR" sz="1200">
                        <a:latin typeface="Cambria Math"/>
                      </a:rPr>
                      <m:t>value</m:t>
                    </m:r>
                    <m:r>
                      <a:rPr lang="es-AR" sz="1200">
                        <a:latin typeface="Cambria Math"/>
                      </a:rPr>
                      <m:t>=</m:t>
                    </m:r>
                    <m:f>
                      <m:fPr>
                        <m:ctrlPr>
                          <a:rPr lang="es-AR" sz="1200" i="1">
                            <a:latin typeface="Cambria Math" panose="02040503050406030204" pitchFamily="18" charset="0"/>
                          </a:rPr>
                        </m:ctrlPr>
                      </m:fPr>
                      <m:num>
                        <m:sSub>
                          <m:sSubPr>
                            <m:ctrlPr>
                              <a:rPr lang="es-AR" sz="1200" i="1">
                                <a:latin typeface="Cambria Math" panose="02040503050406030204" pitchFamily="18" charset="0"/>
                              </a:rPr>
                            </m:ctrlPr>
                          </m:sSubPr>
                          <m:e>
                            <m:r>
                              <a:rPr lang="es-AR" sz="1200">
                                <a:latin typeface="Cambria Math"/>
                              </a:rPr>
                              <m:t>𝐹𝐶𝐹</m:t>
                            </m:r>
                            <m:r>
                              <a:rPr lang="en-US" sz="1200" b="0" i="1">
                                <a:latin typeface="Cambria Math" panose="02040503050406030204" pitchFamily="18" charset="0"/>
                              </a:rPr>
                              <m:t>𝐸</m:t>
                            </m:r>
                          </m:e>
                          <m:sub>
                            <m:r>
                              <a:rPr lang="en-US" sz="1200" i="1">
                                <a:latin typeface="Cambria Math" panose="02040503050406030204" pitchFamily="18" charset="0"/>
                              </a:rPr>
                              <m:t>1</m:t>
                            </m:r>
                          </m:sub>
                        </m:sSub>
                      </m:num>
                      <m:den>
                        <m:sSub>
                          <m:sSubPr>
                            <m:ctrlPr>
                              <a:rPr lang="es-AR" sz="1200" i="1">
                                <a:latin typeface="Cambria Math" panose="02040503050406030204" pitchFamily="18" charset="0"/>
                              </a:rPr>
                            </m:ctrlPr>
                          </m:sSubPr>
                          <m:e>
                            <m:r>
                              <a:rPr lang="es-AR" sz="1200">
                                <a:latin typeface="Cambria Math"/>
                              </a:rPr>
                              <m:t>𝑘</m:t>
                            </m:r>
                          </m:e>
                          <m:sub>
                            <m:r>
                              <a:rPr lang="es-AR" sz="1200">
                                <a:latin typeface="Cambria Math"/>
                              </a:rPr>
                              <m:t>𝑒</m:t>
                            </m:r>
                          </m:sub>
                        </m:sSub>
                        <m:r>
                          <a:rPr lang="en-US" sz="1200" i="1">
                            <a:latin typeface="Cambria Math" panose="02040503050406030204" pitchFamily="18" charset="0"/>
                          </a:rPr>
                          <m:t>−</m:t>
                        </m:r>
                        <m:r>
                          <a:rPr lang="en-US" sz="1200" i="1">
                            <a:latin typeface="Cambria Math" panose="02040503050406030204" pitchFamily="18" charset="0"/>
                          </a:rPr>
                          <m:t>𝑔</m:t>
                        </m:r>
                      </m:den>
                    </m:f>
                    <m:r>
                      <a:rPr lang="en-US" sz="1200" b="0" i="1">
                        <a:latin typeface="Cambria Math" panose="02040503050406030204" pitchFamily="18" charset="0"/>
                      </a:rPr>
                      <m:t>=</m:t>
                    </m:r>
                  </m:oMath>
                </m:oMathPara>
              </a14:m>
              <a:endParaRPr lang="es-AR" sz="1200"/>
            </a:p>
          </xdr:txBody>
        </xdr:sp>
      </mc:Choice>
      <mc:Fallback>
        <xdr:sp macro="" textlink="">
          <xdr:nvSpPr>
            <xdr:cNvPr id="9" name="3 CuadroTexto">
              <a:extLst>
                <a:ext uri="{FF2B5EF4-FFF2-40B4-BE49-F238E27FC236}">
                  <a16:creationId xmlns:a16="http://schemas.microsoft.com/office/drawing/2014/main" id="{CD1CB858-5416-D04A-BE04-A881D51F7EF1}"/>
                </a:ext>
              </a:extLst>
            </xdr:cNvPr>
            <xdr:cNvSpPr txBox="1"/>
          </xdr:nvSpPr>
          <xdr:spPr>
            <a:xfrm>
              <a:off x="659131" y="16485870"/>
              <a:ext cx="2192019" cy="474144"/>
            </a:xfrm>
            <a:prstGeom prst="rect">
              <a:avLst/>
            </a:prstGeom>
            <a:noFill/>
          </xdr:spPr>
          <xdr:txBody>
            <a:bodyPr wrap="square"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s-AR" sz="1200" i="0">
                  <a:latin typeface="Cambria Math"/>
                </a:rPr>
                <a:t>Equity value=</a:t>
              </a:r>
              <a:r>
                <a:rPr lang="es-AR" sz="1200" i="0">
                  <a:latin typeface="Cambria Math" panose="02040503050406030204" pitchFamily="18" charset="0"/>
                </a:rPr>
                <a:t>〖</a:t>
              </a:r>
              <a:r>
                <a:rPr lang="es-AR" sz="1200" i="0">
                  <a:latin typeface="Cambria Math"/>
                </a:rPr>
                <a:t>𝐹𝐶𝐹</a:t>
              </a:r>
              <a:r>
                <a:rPr lang="en-US" sz="1200" b="0" i="0">
                  <a:latin typeface="Cambria Math" panose="02040503050406030204" pitchFamily="18" charset="0"/>
                </a:rPr>
                <a:t>𝐸</a:t>
              </a:r>
              <a:r>
                <a:rPr lang="es-AR" sz="1200" b="0" i="0">
                  <a:latin typeface="Cambria Math" panose="02040503050406030204" pitchFamily="18" charset="0"/>
                </a:rPr>
                <a:t>〗_</a:t>
              </a:r>
              <a:r>
                <a:rPr lang="en-US" sz="1200" i="0">
                  <a:latin typeface="Cambria Math" panose="02040503050406030204" pitchFamily="18" charset="0"/>
                </a:rPr>
                <a:t>1</a:t>
              </a:r>
              <a:r>
                <a:rPr lang="es-AR" sz="1200" i="0">
                  <a:latin typeface="Cambria Math" panose="02040503050406030204" pitchFamily="18" charset="0"/>
                </a:rPr>
                <a:t>/(</a:t>
              </a:r>
              <a:r>
                <a:rPr lang="es-AR" sz="1200" i="0">
                  <a:latin typeface="Cambria Math"/>
                </a:rPr>
                <a:t>𝑘</a:t>
              </a:r>
              <a:r>
                <a:rPr lang="es-AR" sz="1200" i="0">
                  <a:latin typeface="Cambria Math" panose="02040503050406030204" pitchFamily="18" charset="0"/>
                </a:rPr>
                <a:t>_</a:t>
              </a:r>
              <a:r>
                <a:rPr lang="es-AR" sz="1200" i="0">
                  <a:latin typeface="Cambria Math"/>
                </a:rPr>
                <a:t>𝑒</a:t>
              </a:r>
              <a:r>
                <a:rPr lang="en-US" sz="1200" i="0">
                  <a:latin typeface="Cambria Math" panose="02040503050406030204" pitchFamily="18" charset="0"/>
                </a:rPr>
                <a:t>−𝑔</a:t>
              </a:r>
              <a:r>
                <a:rPr lang="es-AR" sz="1200" i="0">
                  <a:latin typeface="Cambria Math" panose="02040503050406030204" pitchFamily="18" charset="0"/>
                </a:rPr>
                <a:t>)</a:t>
              </a:r>
              <a:r>
                <a:rPr lang="en-US" sz="1200" b="0" i="0">
                  <a:latin typeface="Cambria Math" panose="02040503050406030204" pitchFamily="18" charset="0"/>
                </a:rPr>
                <a:t>=</a:t>
              </a:r>
              <a:endParaRPr lang="es-AR" sz="1200"/>
            </a:p>
          </xdr:txBody>
        </xdr:sp>
      </mc:Fallback>
    </mc:AlternateContent>
    <xdr:clientData/>
  </xdr:twoCellAnchor>
  <xdr:twoCellAnchor editAs="oneCell">
    <xdr:from>
      <xdr:col>0</xdr:col>
      <xdr:colOff>0</xdr:colOff>
      <xdr:row>158</xdr:row>
      <xdr:rowOff>203199</xdr:rowOff>
    </xdr:from>
    <xdr:to>
      <xdr:col>4</xdr:col>
      <xdr:colOff>771748</xdr:colOff>
      <xdr:row>173</xdr:row>
      <xdr:rowOff>50800</xdr:rowOff>
    </xdr:to>
    <xdr:pic>
      <xdr:nvPicPr>
        <xdr:cNvPr id="10" name="Picture 9">
          <a:extLst>
            <a:ext uri="{FF2B5EF4-FFF2-40B4-BE49-F238E27FC236}">
              <a16:creationId xmlns:a16="http://schemas.microsoft.com/office/drawing/2014/main" id="{9F90D6C6-E8ED-DA45-260D-97A149B6F977}"/>
            </a:ext>
          </a:extLst>
        </xdr:cNvPr>
        <xdr:cNvPicPr>
          <a:picLocks noChangeAspect="1"/>
        </xdr:cNvPicPr>
      </xdr:nvPicPr>
      <xdr:blipFill>
        <a:blip xmlns:r="http://schemas.openxmlformats.org/officeDocument/2006/relationships" r:embed="rId2"/>
        <a:stretch>
          <a:fillRect/>
        </a:stretch>
      </xdr:blipFill>
      <xdr:spPr>
        <a:xfrm>
          <a:off x="0" y="33629599"/>
          <a:ext cx="4116081" cy="2895601"/>
        </a:xfrm>
        <a:prstGeom prst="rect">
          <a:avLst/>
        </a:prstGeom>
      </xdr:spPr>
    </xdr:pic>
    <xdr:clientData/>
  </xdr:twoCellAnchor>
  <xdr:twoCellAnchor editAs="oneCell">
    <xdr:from>
      <xdr:col>0</xdr:col>
      <xdr:colOff>0</xdr:colOff>
      <xdr:row>174</xdr:row>
      <xdr:rowOff>196559</xdr:rowOff>
    </xdr:from>
    <xdr:to>
      <xdr:col>4</xdr:col>
      <xdr:colOff>838200</xdr:colOff>
      <xdr:row>190</xdr:row>
      <xdr:rowOff>56315</xdr:rowOff>
    </xdr:to>
    <xdr:pic>
      <xdr:nvPicPr>
        <xdr:cNvPr id="11" name="Picture 10">
          <a:extLst>
            <a:ext uri="{FF2B5EF4-FFF2-40B4-BE49-F238E27FC236}">
              <a16:creationId xmlns:a16="http://schemas.microsoft.com/office/drawing/2014/main" id="{7B5E754C-8D73-04B2-CB32-866E8647FDB1}"/>
            </a:ext>
          </a:extLst>
        </xdr:cNvPr>
        <xdr:cNvPicPr>
          <a:picLocks noChangeAspect="1"/>
        </xdr:cNvPicPr>
      </xdr:nvPicPr>
      <xdr:blipFill>
        <a:blip xmlns:r="http://schemas.openxmlformats.org/officeDocument/2006/relationships" r:embed="rId3"/>
        <a:stretch>
          <a:fillRect/>
        </a:stretch>
      </xdr:blipFill>
      <xdr:spPr>
        <a:xfrm>
          <a:off x="0" y="36874159"/>
          <a:ext cx="4182533" cy="3110956"/>
        </a:xfrm>
        <a:prstGeom prst="rect">
          <a:avLst/>
        </a:prstGeom>
      </xdr:spPr>
    </xdr:pic>
    <xdr:clientData/>
  </xdr:twoCellAnchor>
  <xdr:twoCellAnchor editAs="oneCell">
    <xdr:from>
      <xdr:col>5</xdr:col>
      <xdr:colOff>821268</xdr:colOff>
      <xdr:row>173</xdr:row>
      <xdr:rowOff>25400</xdr:rowOff>
    </xdr:from>
    <xdr:to>
      <xdr:col>9</xdr:col>
      <xdr:colOff>143934</xdr:colOff>
      <xdr:row>175</xdr:row>
      <xdr:rowOff>139700</xdr:rowOff>
    </xdr:to>
    <xdr:pic>
      <xdr:nvPicPr>
        <xdr:cNvPr id="12" name="Picture 11">
          <a:extLst>
            <a:ext uri="{FF2B5EF4-FFF2-40B4-BE49-F238E27FC236}">
              <a16:creationId xmlns:a16="http://schemas.microsoft.com/office/drawing/2014/main" id="{02E7AD8E-718B-B0C7-0D52-36E50679DD7C}"/>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5029201" y="36499800"/>
          <a:ext cx="2641600" cy="52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812800</xdr:colOff>
      <xdr:row>176</xdr:row>
      <xdr:rowOff>110067</xdr:rowOff>
    </xdr:from>
    <xdr:to>
      <xdr:col>13</xdr:col>
      <xdr:colOff>2539</xdr:colOff>
      <xdr:row>177</xdr:row>
      <xdr:rowOff>160867</xdr:rowOff>
    </xdr:to>
    <xdr:pic>
      <xdr:nvPicPr>
        <xdr:cNvPr id="13" name="Picture 12">
          <a:extLst>
            <a:ext uri="{FF2B5EF4-FFF2-40B4-BE49-F238E27FC236}">
              <a16:creationId xmlns:a16="http://schemas.microsoft.com/office/drawing/2014/main" id="{DDADD28A-CA0D-7753-1F4C-1DAC18084A24}"/>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5020733" y="37194067"/>
          <a:ext cx="5820833"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812800</xdr:colOff>
      <xdr:row>181</xdr:row>
      <xdr:rowOff>93134</xdr:rowOff>
    </xdr:from>
    <xdr:to>
      <xdr:col>17</xdr:col>
      <xdr:colOff>173566</xdr:colOff>
      <xdr:row>186</xdr:row>
      <xdr:rowOff>42334</xdr:rowOff>
    </xdr:to>
    <xdr:pic>
      <xdr:nvPicPr>
        <xdr:cNvPr id="14" name="Picture 13">
          <a:extLst>
            <a:ext uri="{FF2B5EF4-FFF2-40B4-BE49-F238E27FC236}">
              <a16:creationId xmlns:a16="http://schemas.microsoft.com/office/drawing/2014/main" id="{9C19A27B-8C95-B6F2-879C-A7E9BDF4A44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5020733" y="38193134"/>
          <a:ext cx="9317566" cy="9652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812801</xdr:colOff>
      <xdr:row>186</xdr:row>
      <xdr:rowOff>76200</xdr:rowOff>
    </xdr:from>
    <xdr:to>
      <xdr:col>15</xdr:col>
      <xdr:colOff>554567</xdr:colOff>
      <xdr:row>187</xdr:row>
      <xdr:rowOff>165100</xdr:rowOff>
    </xdr:to>
    <xdr:pic>
      <xdr:nvPicPr>
        <xdr:cNvPr id="15" name="Picture 14">
          <a:extLst>
            <a:ext uri="{FF2B5EF4-FFF2-40B4-BE49-F238E27FC236}">
              <a16:creationId xmlns:a16="http://schemas.microsoft.com/office/drawing/2014/main" id="{5C5E18AF-2A79-217F-9443-449239AF31DC}"/>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5020734" y="39192200"/>
          <a:ext cx="8039100" cy="2921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821267</xdr:colOff>
      <xdr:row>188</xdr:row>
      <xdr:rowOff>16933</xdr:rowOff>
    </xdr:from>
    <xdr:to>
      <xdr:col>12</xdr:col>
      <xdr:colOff>651933</xdr:colOff>
      <xdr:row>189</xdr:row>
      <xdr:rowOff>67733</xdr:rowOff>
    </xdr:to>
    <xdr:pic>
      <xdr:nvPicPr>
        <xdr:cNvPr id="16" name="Picture 15">
          <a:extLst>
            <a:ext uri="{FF2B5EF4-FFF2-40B4-BE49-F238E27FC236}">
              <a16:creationId xmlns:a16="http://schemas.microsoft.com/office/drawing/2014/main" id="{DAFB0440-F850-1ABD-1A55-5763C1538DD1}"/>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5029200" y="39539333"/>
          <a:ext cx="56388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770467</xdr:colOff>
      <xdr:row>177</xdr:row>
      <xdr:rowOff>194734</xdr:rowOff>
    </xdr:from>
    <xdr:to>
      <xdr:col>12</xdr:col>
      <xdr:colOff>740833</xdr:colOff>
      <xdr:row>179</xdr:row>
      <xdr:rowOff>42334</xdr:rowOff>
    </xdr:to>
    <xdr:pic>
      <xdr:nvPicPr>
        <xdr:cNvPr id="17" name="Picture 16">
          <a:extLst>
            <a:ext uri="{FF2B5EF4-FFF2-40B4-BE49-F238E27FC236}">
              <a16:creationId xmlns:a16="http://schemas.microsoft.com/office/drawing/2014/main" id="{CFC45093-4295-9D06-1973-535648B3C953}"/>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4978400" y="37481934"/>
          <a:ext cx="57785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193</xdr:row>
      <xdr:rowOff>0</xdr:rowOff>
    </xdr:from>
    <xdr:to>
      <xdr:col>15</xdr:col>
      <xdr:colOff>419100</xdr:colOff>
      <xdr:row>195</xdr:row>
      <xdr:rowOff>114300</xdr:rowOff>
    </xdr:to>
    <xdr:pic>
      <xdr:nvPicPr>
        <xdr:cNvPr id="18" name="Picture 17">
          <a:extLst>
            <a:ext uri="{FF2B5EF4-FFF2-40B4-BE49-F238E27FC236}">
              <a16:creationId xmlns:a16="http://schemas.microsoft.com/office/drawing/2014/main" id="{B145E594-EAA1-1855-0AD4-72856D6523BE}"/>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5016500" y="40538400"/>
          <a:ext cx="7848600" cy="520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198</xdr:row>
      <xdr:rowOff>0</xdr:rowOff>
    </xdr:from>
    <xdr:to>
      <xdr:col>14</xdr:col>
      <xdr:colOff>736600</xdr:colOff>
      <xdr:row>199</xdr:row>
      <xdr:rowOff>50800</xdr:rowOff>
    </xdr:to>
    <xdr:pic>
      <xdr:nvPicPr>
        <xdr:cNvPr id="21" name="Picture 20">
          <a:extLst>
            <a:ext uri="{FF2B5EF4-FFF2-40B4-BE49-F238E27FC236}">
              <a16:creationId xmlns:a16="http://schemas.microsoft.com/office/drawing/2014/main" id="{D6EAEA76-8CB6-8888-8B08-81C985A99BEC}"/>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5016500" y="41554400"/>
          <a:ext cx="73406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6</xdr:col>
      <xdr:colOff>0</xdr:colOff>
      <xdr:row>199</xdr:row>
      <xdr:rowOff>101600</xdr:rowOff>
    </xdr:from>
    <xdr:to>
      <xdr:col>13</xdr:col>
      <xdr:colOff>203200</xdr:colOff>
      <xdr:row>200</xdr:row>
      <xdr:rowOff>152400</xdr:rowOff>
    </xdr:to>
    <xdr:pic>
      <xdr:nvPicPr>
        <xdr:cNvPr id="22" name="Picture 21">
          <a:extLst>
            <a:ext uri="{FF2B5EF4-FFF2-40B4-BE49-F238E27FC236}">
              <a16:creationId xmlns:a16="http://schemas.microsoft.com/office/drawing/2014/main" id="{32335149-42FD-1333-56E5-096C124593DE}"/>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5037667" y="41859200"/>
          <a:ext cx="6011333"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xdr:from>
      <xdr:col>12</xdr:col>
      <xdr:colOff>83820</xdr:colOff>
      <xdr:row>220</xdr:row>
      <xdr:rowOff>53340</xdr:rowOff>
    </xdr:from>
    <xdr:to>
      <xdr:col>17</xdr:col>
      <xdr:colOff>87710</xdr:colOff>
      <xdr:row>223</xdr:row>
      <xdr:rowOff>28818</xdr:rowOff>
    </xdr:to>
    <mc:AlternateContent xmlns:mc="http://schemas.openxmlformats.org/markup-compatibility/2006">
      <mc:Choice xmlns:a14="http://schemas.microsoft.com/office/drawing/2010/main" Requires="a14">
        <xdr:sp macro="" textlink="">
          <xdr:nvSpPr>
            <xdr:cNvPr id="23" name="TextBox 6">
              <a:extLst>
                <a:ext uri="{FF2B5EF4-FFF2-40B4-BE49-F238E27FC236}">
                  <a16:creationId xmlns:a16="http://schemas.microsoft.com/office/drawing/2014/main" id="{336A8A97-435A-434B-B13B-F36116F3E396}"/>
                </a:ext>
              </a:extLst>
            </xdr:cNvPr>
            <xdr:cNvSpPr txBox="1"/>
          </xdr:nvSpPr>
          <xdr:spPr>
            <a:xfrm>
              <a:off x="11488420" y="3368040"/>
              <a:ext cx="4385390" cy="54697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f>
                      <m:fPr>
                        <m:ctrlPr>
                          <a:rPr lang="en-US" b="0" i="1">
                            <a:latin typeface="Cambria Math" panose="02040503050406030204" pitchFamily="18" charset="0"/>
                          </a:rPr>
                        </m:ctrlPr>
                      </m:fPr>
                      <m:num>
                        <m:r>
                          <a:rPr lang="en-US" i="1">
                            <a:latin typeface="Cambria Math" panose="02040503050406030204" pitchFamily="18" charset="0"/>
                          </a:rPr>
                          <m:t>𝐶𝑎𝑝𝑖𝑡𝑎𝑙</m:t>
                        </m:r>
                        <m:r>
                          <a:rPr lang="en-US" i="1">
                            <a:latin typeface="Cambria Math" panose="02040503050406030204" pitchFamily="18" charset="0"/>
                          </a:rPr>
                          <m:t> </m:t>
                        </m:r>
                        <m:r>
                          <a:rPr lang="en-US" i="1">
                            <a:latin typeface="Cambria Math" panose="02040503050406030204" pitchFamily="18" charset="0"/>
                          </a:rPr>
                          <m:t>𝑒𝑥𝑝𝑒𝑛𝑑𝑖𝑡𝑢𝑟𝑒𝑠</m:t>
                        </m:r>
                        <m:r>
                          <a:rPr lang="en-US" i="1">
                            <a:latin typeface="Cambria Math" panose="02040503050406030204" pitchFamily="18" charset="0"/>
                          </a:rPr>
                          <m:t>−</m:t>
                        </m:r>
                        <m:r>
                          <a:rPr lang="en-US" i="1">
                            <a:latin typeface="Cambria Math" panose="02040503050406030204" pitchFamily="18" charset="0"/>
                          </a:rPr>
                          <m:t>𝑑𝑒𝑝𝑟𝑒𝑐𝑖𝑎𝑡𝑖𝑜𝑛</m:t>
                        </m:r>
                        <m:r>
                          <m:rPr>
                            <m:nor/>
                          </m:rPr>
                          <a:rPr lang="en-US"/>
                          <m:t> </m:t>
                        </m:r>
                      </m:num>
                      <m:den>
                        <m:r>
                          <a:rPr lang="en-US" b="0" i="1">
                            <a:latin typeface="Cambria Math" panose="02040503050406030204" pitchFamily="18" charset="0"/>
                          </a:rPr>
                          <m:t>𝐼𝑛𝑐𝑟𝑒𝑎𝑠𝑒</m:t>
                        </m:r>
                        <m:r>
                          <a:rPr lang="en-US" b="0" i="1">
                            <a:latin typeface="Cambria Math" panose="02040503050406030204" pitchFamily="18" charset="0"/>
                          </a:rPr>
                          <m:t> </m:t>
                        </m:r>
                        <m:r>
                          <a:rPr lang="en-US" b="0" i="1">
                            <a:latin typeface="Cambria Math" panose="02040503050406030204" pitchFamily="18" charset="0"/>
                          </a:rPr>
                          <m:t>𝑖𝑛</m:t>
                        </m:r>
                        <m:r>
                          <a:rPr lang="en-US" b="0" i="1">
                            <a:latin typeface="Cambria Math" panose="02040503050406030204" pitchFamily="18" charset="0"/>
                          </a:rPr>
                          <m:t> </m:t>
                        </m:r>
                        <m:r>
                          <a:rPr lang="en-US" b="0" i="1">
                            <a:latin typeface="Cambria Math" panose="02040503050406030204" pitchFamily="18" charset="0"/>
                          </a:rPr>
                          <m:t>𝑠𝑎𝑙𝑒𝑠</m:t>
                        </m:r>
                      </m:den>
                    </m:f>
                  </m:oMath>
                </m:oMathPara>
              </a14:m>
              <a:endParaRPr lang="en-US"/>
            </a:p>
          </xdr:txBody>
        </xdr:sp>
      </mc:Choice>
      <mc:Fallback>
        <xdr:sp macro="" textlink="">
          <xdr:nvSpPr>
            <xdr:cNvPr id="23" name="TextBox 6">
              <a:extLst>
                <a:ext uri="{FF2B5EF4-FFF2-40B4-BE49-F238E27FC236}">
                  <a16:creationId xmlns:a16="http://schemas.microsoft.com/office/drawing/2014/main" id="{336A8A97-435A-434B-B13B-F36116F3E396}"/>
                </a:ext>
              </a:extLst>
            </xdr:cNvPr>
            <xdr:cNvSpPr txBox="1"/>
          </xdr:nvSpPr>
          <xdr:spPr>
            <a:xfrm>
              <a:off x="11488420" y="3368040"/>
              <a:ext cx="4385390" cy="54697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b="0" i="0">
                  <a:latin typeface="Cambria Math" panose="02040503050406030204" pitchFamily="18" charset="0"/>
                </a:rPr>
                <a:t>(</a:t>
              </a:r>
              <a:r>
                <a:rPr lang="en-US" i="0">
                  <a:latin typeface="Cambria Math" panose="02040503050406030204" pitchFamily="18" charset="0"/>
                </a:rPr>
                <a:t>𝐶𝑎𝑝𝑖𝑡𝑎𝑙 𝑒𝑥𝑝𝑒𝑛𝑑𝑖𝑡𝑢𝑟𝑒𝑠−𝑑𝑒𝑝𝑟𝑒𝑐𝑖𝑎𝑡𝑖𝑜𝑛"</a:t>
              </a:r>
              <a:r>
                <a:rPr lang="en-US" i="0"/>
                <a:t> </a:t>
              </a:r>
              <a:r>
                <a:rPr lang="en-US" i="0">
                  <a:latin typeface="Cambria Math" panose="02040503050406030204" pitchFamily="18" charset="0"/>
                </a:rPr>
                <a:t>" </a:t>
              </a:r>
              <a:r>
                <a:rPr lang="en-US" b="0" i="0">
                  <a:latin typeface="Cambria Math" panose="02040503050406030204" pitchFamily="18" charset="0"/>
                </a:rPr>
                <a:t>)/(𝐼𝑛𝑐𝑟𝑒𝑎𝑠𝑒 𝑖𝑛 𝑠𝑎𝑙𝑒𝑠)</a:t>
              </a:r>
              <a:endParaRPr lang="en-US"/>
            </a:p>
          </xdr:txBody>
        </xdr:sp>
      </mc:Fallback>
    </mc:AlternateContent>
    <xdr:clientData/>
  </xdr:twoCellAnchor>
  <xdr:twoCellAnchor>
    <xdr:from>
      <xdr:col>12</xdr:col>
      <xdr:colOff>501110</xdr:colOff>
      <xdr:row>226</xdr:row>
      <xdr:rowOff>173221</xdr:rowOff>
    </xdr:from>
    <xdr:to>
      <xdr:col>16</xdr:col>
      <xdr:colOff>392435</xdr:colOff>
      <xdr:row>229</xdr:row>
      <xdr:rowOff>135319</xdr:rowOff>
    </xdr:to>
    <mc:AlternateContent xmlns:mc="http://schemas.openxmlformats.org/markup-compatibility/2006">
      <mc:Choice xmlns:a14="http://schemas.microsoft.com/office/drawing/2010/main" Requires="a14">
        <xdr:sp macro="" textlink="">
          <xdr:nvSpPr>
            <xdr:cNvPr id="24" name="TextBox 7">
              <a:extLst>
                <a:ext uri="{FF2B5EF4-FFF2-40B4-BE49-F238E27FC236}">
                  <a16:creationId xmlns:a16="http://schemas.microsoft.com/office/drawing/2014/main" id="{EEF4CE4D-367E-C94A-AC2E-34CFE4474829}"/>
                </a:ext>
              </a:extLst>
            </xdr:cNvPr>
            <xdr:cNvSpPr txBox="1"/>
          </xdr:nvSpPr>
          <xdr:spPr>
            <a:xfrm>
              <a:off x="11905710" y="4630921"/>
              <a:ext cx="3396525" cy="54629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f>
                      <m:fPr>
                        <m:ctrlPr>
                          <a:rPr lang="en-US" b="0" i="1">
                            <a:latin typeface="Cambria Math" panose="02040503050406030204" pitchFamily="18" charset="0"/>
                          </a:rPr>
                        </m:ctrlPr>
                      </m:fPr>
                      <m:num>
                        <m:r>
                          <a:rPr lang="en-US" b="0" i="1">
                            <a:latin typeface="Cambria Math" panose="02040503050406030204" pitchFamily="18" charset="0"/>
                          </a:rPr>
                          <m:t>𝐼𝑛𝑐𝑟𝑒𝑎𝑠𝑒</m:t>
                        </m:r>
                        <m:r>
                          <a:rPr lang="en-US" b="0" i="1">
                            <a:latin typeface="Cambria Math" panose="02040503050406030204" pitchFamily="18" charset="0"/>
                          </a:rPr>
                          <m:t> </m:t>
                        </m:r>
                        <m:r>
                          <a:rPr lang="en-US" b="0" i="1">
                            <a:latin typeface="Cambria Math" panose="02040503050406030204" pitchFamily="18" charset="0"/>
                          </a:rPr>
                          <m:t>𝑖𝑛</m:t>
                        </m:r>
                        <m:r>
                          <a:rPr lang="en-US" b="0" i="1">
                            <a:latin typeface="Cambria Math" panose="02040503050406030204" pitchFamily="18" charset="0"/>
                          </a:rPr>
                          <m:t> </m:t>
                        </m:r>
                        <m:r>
                          <a:rPr lang="en-US" b="0" i="1">
                            <a:latin typeface="Cambria Math" panose="02040503050406030204" pitchFamily="18" charset="0"/>
                          </a:rPr>
                          <m:t>𝑊𝑜𝑟𝑘𝑖𝑛𝑔</m:t>
                        </m:r>
                        <m:r>
                          <a:rPr lang="en-US" b="0" i="1">
                            <a:latin typeface="Cambria Math" panose="02040503050406030204" pitchFamily="18" charset="0"/>
                          </a:rPr>
                          <m:t> </m:t>
                        </m:r>
                        <m:r>
                          <a:rPr lang="en-US" b="0" i="1">
                            <a:latin typeface="Cambria Math" panose="02040503050406030204" pitchFamily="18" charset="0"/>
                          </a:rPr>
                          <m:t>𝐶𝑎𝑝𝑖𝑡𝑎𝑙</m:t>
                        </m:r>
                      </m:num>
                      <m:den>
                        <m:r>
                          <a:rPr lang="en-US" b="0" i="1">
                            <a:latin typeface="Cambria Math" panose="02040503050406030204" pitchFamily="18" charset="0"/>
                          </a:rPr>
                          <m:t>𝐼𝑛𝑐𝑟𝑒𝑎𝑠𝑒</m:t>
                        </m:r>
                        <m:r>
                          <a:rPr lang="en-US" b="0" i="1">
                            <a:latin typeface="Cambria Math" panose="02040503050406030204" pitchFamily="18" charset="0"/>
                          </a:rPr>
                          <m:t> </m:t>
                        </m:r>
                        <m:r>
                          <a:rPr lang="en-US" b="0" i="1">
                            <a:latin typeface="Cambria Math" panose="02040503050406030204" pitchFamily="18" charset="0"/>
                          </a:rPr>
                          <m:t>𝑖𝑛</m:t>
                        </m:r>
                        <m:r>
                          <a:rPr lang="en-US" b="0" i="1">
                            <a:latin typeface="Cambria Math" panose="02040503050406030204" pitchFamily="18" charset="0"/>
                          </a:rPr>
                          <m:t> </m:t>
                        </m:r>
                        <m:r>
                          <a:rPr lang="en-US" b="0" i="1">
                            <a:latin typeface="Cambria Math" panose="02040503050406030204" pitchFamily="18" charset="0"/>
                          </a:rPr>
                          <m:t>𝑠𝑎𝑙𝑒𝑠</m:t>
                        </m:r>
                      </m:den>
                    </m:f>
                  </m:oMath>
                </m:oMathPara>
              </a14:m>
              <a:endParaRPr lang="en-US"/>
            </a:p>
          </xdr:txBody>
        </xdr:sp>
      </mc:Choice>
      <mc:Fallback>
        <xdr:sp macro="" textlink="">
          <xdr:nvSpPr>
            <xdr:cNvPr id="24" name="TextBox 7">
              <a:extLst>
                <a:ext uri="{FF2B5EF4-FFF2-40B4-BE49-F238E27FC236}">
                  <a16:creationId xmlns:a16="http://schemas.microsoft.com/office/drawing/2014/main" id="{EEF4CE4D-367E-C94A-AC2E-34CFE4474829}"/>
                </a:ext>
              </a:extLst>
            </xdr:cNvPr>
            <xdr:cNvSpPr txBox="1"/>
          </xdr:nvSpPr>
          <xdr:spPr>
            <a:xfrm>
              <a:off x="11905710" y="4630921"/>
              <a:ext cx="3396525" cy="546298"/>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b="0" i="0">
                  <a:latin typeface="Cambria Math" panose="02040503050406030204" pitchFamily="18" charset="0"/>
                </a:rPr>
                <a:t>(𝐼𝑛𝑐𝑟𝑒𝑎𝑠𝑒 𝑖𝑛 𝑊𝑜𝑟𝑘𝑖𝑛𝑔 𝐶𝑎𝑝𝑖𝑡𝑎𝑙)/(𝐼𝑛𝑐𝑟𝑒𝑎𝑠𝑒 𝑖𝑛 𝑠𝑎𝑙𝑒𝑠)</a:t>
              </a:r>
              <a:endParaRPr lang="en-US"/>
            </a:p>
          </xdr:txBody>
        </xdr:sp>
      </mc:Fallback>
    </mc:AlternateContent>
    <xdr:clientData/>
  </xdr:twoCellAnchor>
  <xdr:twoCellAnchor>
    <xdr:from>
      <xdr:col>13</xdr:col>
      <xdr:colOff>485775</xdr:colOff>
      <xdr:row>233</xdr:row>
      <xdr:rowOff>85725</xdr:rowOff>
    </xdr:from>
    <xdr:to>
      <xdr:col>15</xdr:col>
      <xdr:colOff>459050</xdr:colOff>
      <xdr:row>236</xdr:row>
      <xdr:rowOff>114129</xdr:rowOff>
    </xdr:to>
    <mc:AlternateContent xmlns:mc="http://schemas.openxmlformats.org/markup-compatibility/2006">
      <mc:Choice xmlns:a14="http://schemas.microsoft.com/office/drawing/2010/main" Requires="a14">
        <xdr:sp macro="" textlink="">
          <xdr:nvSpPr>
            <xdr:cNvPr id="25" name="TextBox 13">
              <a:extLst>
                <a:ext uri="{FF2B5EF4-FFF2-40B4-BE49-F238E27FC236}">
                  <a16:creationId xmlns:a16="http://schemas.microsoft.com/office/drawing/2014/main" id="{4886F9E8-F4B9-D945-97AC-7112144BB0E8}"/>
                </a:ext>
              </a:extLst>
            </xdr:cNvPr>
            <xdr:cNvSpPr txBox="1"/>
          </xdr:nvSpPr>
          <xdr:spPr>
            <a:xfrm>
              <a:off x="12766675" y="5902325"/>
              <a:ext cx="1725875" cy="599904"/>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14:m>
                <m:oMathPara xmlns:m="http://schemas.openxmlformats.org/officeDocument/2006/math">
                  <m:oMathParaPr>
                    <m:jc m:val="centerGroup"/>
                  </m:oMathParaPr>
                  <m:oMath xmlns:m="http://schemas.openxmlformats.org/officeDocument/2006/math">
                    <m:f>
                      <m:fPr>
                        <m:ctrlPr>
                          <a:rPr lang="en-US" b="0" i="1">
                            <a:latin typeface="Cambria Math" panose="02040503050406030204" pitchFamily="18" charset="0"/>
                          </a:rPr>
                        </m:ctrlPr>
                      </m:fPr>
                      <m:num>
                        <m:r>
                          <a:rPr lang="en-US" b="0" i="1">
                            <a:latin typeface="Cambria Math" panose="02040503050406030204" pitchFamily="18" charset="0"/>
                          </a:rPr>
                          <m:t>𝐷𝑒𝑏𝑡</m:t>
                        </m:r>
                      </m:num>
                      <m:den>
                        <m:r>
                          <a:rPr lang="en-US" b="0" i="1">
                            <a:latin typeface="Cambria Math" panose="02040503050406030204" pitchFamily="18" charset="0"/>
                          </a:rPr>
                          <m:t>𝐷𝑒𝑏𝑡</m:t>
                        </m:r>
                        <m:r>
                          <a:rPr lang="en-US" b="0" i="1">
                            <a:latin typeface="Cambria Math" panose="02040503050406030204" pitchFamily="18" charset="0"/>
                          </a:rPr>
                          <m:t>+</m:t>
                        </m:r>
                        <m:r>
                          <a:rPr lang="en-US" b="0" i="1">
                            <a:latin typeface="Cambria Math" panose="02040503050406030204" pitchFamily="18" charset="0"/>
                          </a:rPr>
                          <m:t>𝐸𝑞𝑢𝑖𝑡𝑦</m:t>
                        </m:r>
                      </m:den>
                    </m:f>
                  </m:oMath>
                </m:oMathPara>
              </a14:m>
              <a:endParaRPr lang="en-US"/>
            </a:p>
          </xdr:txBody>
        </xdr:sp>
      </mc:Choice>
      <mc:Fallback>
        <xdr:sp macro="" textlink="">
          <xdr:nvSpPr>
            <xdr:cNvPr id="25" name="TextBox 13">
              <a:extLst>
                <a:ext uri="{FF2B5EF4-FFF2-40B4-BE49-F238E27FC236}">
                  <a16:creationId xmlns:a16="http://schemas.microsoft.com/office/drawing/2014/main" id="{4886F9E8-F4B9-D945-97AC-7112144BB0E8}"/>
                </a:ext>
              </a:extLst>
            </xdr:cNvPr>
            <xdr:cNvSpPr txBox="1"/>
          </xdr:nvSpPr>
          <xdr:spPr>
            <a:xfrm>
              <a:off x="12766675" y="5902325"/>
              <a:ext cx="1725875" cy="599904"/>
            </a:xfrm>
            <a:prstGeom prst="rect">
              <a:avLst/>
            </a:prstGeom>
            <a:noFill/>
          </xdr:spPr>
          <xdr:txBody>
            <a:bodyPr wrap="square" lIns="0" tIns="0" rIns="0" bIns="0" rtlCol="0">
              <a:spAutoFit/>
            </a:bodyPr>
            <a:lstStyle>
              <a:defPPr>
                <a:defRPr lang="es-AR"/>
              </a:defPPr>
              <a:lvl1pPr marL="0" algn="l" defTabSz="914400" rtl="0" eaLnBrk="1" latinLnBrk="0" hangingPunct="1">
                <a:defRPr sz="1800" kern="1200">
                  <a:solidFill>
                    <a:schemeClr val="tx1"/>
                  </a:solidFill>
                  <a:latin typeface="+mn-lt"/>
                  <a:ea typeface="+mn-ea"/>
                  <a:cs typeface="+mn-cs"/>
                </a:defRPr>
              </a:lvl1pPr>
              <a:lvl2pPr marL="457200" algn="l" defTabSz="914400" rtl="0" eaLnBrk="1" latinLnBrk="0" hangingPunct="1">
                <a:defRPr sz="1800" kern="1200">
                  <a:solidFill>
                    <a:schemeClr val="tx1"/>
                  </a:solidFill>
                  <a:latin typeface="+mn-lt"/>
                  <a:ea typeface="+mn-ea"/>
                  <a:cs typeface="+mn-cs"/>
                </a:defRPr>
              </a:lvl2pPr>
              <a:lvl3pPr marL="914400" algn="l" defTabSz="914400" rtl="0" eaLnBrk="1" latinLnBrk="0" hangingPunct="1">
                <a:defRPr sz="1800" kern="1200">
                  <a:solidFill>
                    <a:schemeClr val="tx1"/>
                  </a:solidFill>
                  <a:latin typeface="+mn-lt"/>
                  <a:ea typeface="+mn-ea"/>
                  <a:cs typeface="+mn-cs"/>
                </a:defRPr>
              </a:lvl3pPr>
              <a:lvl4pPr marL="1371600" algn="l" defTabSz="914400" rtl="0" eaLnBrk="1" latinLnBrk="0" hangingPunct="1">
                <a:defRPr sz="1800" kern="1200">
                  <a:solidFill>
                    <a:schemeClr val="tx1"/>
                  </a:solidFill>
                  <a:latin typeface="+mn-lt"/>
                  <a:ea typeface="+mn-ea"/>
                  <a:cs typeface="+mn-cs"/>
                </a:defRPr>
              </a:lvl4pPr>
              <a:lvl5pPr marL="1828800" algn="l" defTabSz="914400" rtl="0" eaLnBrk="1" latinLnBrk="0" hangingPunct="1">
                <a:defRPr sz="1800" kern="1200">
                  <a:solidFill>
                    <a:schemeClr val="tx1"/>
                  </a:solidFill>
                  <a:latin typeface="+mn-lt"/>
                  <a:ea typeface="+mn-ea"/>
                  <a:cs typeface="+mn-cs"/>
                </a:defRPr>
              </a:lvl5pPr>
              <a:lvl6pPr marL="2286000" algn="l" defTabSz="914400" rtl="0" eaLnBrk="1" latinLnBrk="0" hangingPunct="1">
                <a:defRPr sz="1800" kern="1200">
                  <a:solidFill>
                    <a:schemeClr val="tx1"/>
                  </a:solidFill>
                  <a:latin typeface="+mn-lt"/>
                  <a:ea typeface="+mn-ea"/>
                  <a:cs typeface="+mn-cs"/>
                </a:defRPr>
              </a:lvl6pPr>
              <a:lvl7pPr marL="2743200" algn="l" defTabSz="914400" rtl="0" eaLnBrk="1" latinLnBrk="0" hangingPunct="1">
                <a:defRPr sz="1800" kern="1200">
                  <a:solidFill>
                    <a:schemeClr val="tx1"/>
                  </a:solidFill>
                  <a:latin typeface="+mn-lt"/>
                  <a:ea typeface="+mn-ea"/>
                  <a:cs typeface="+mn-cs"/>
                </a:defRPr>
              </a:lvl7pPr>
              <a:lvl8pPr marL="3200400" algn="l" defTabSz="914400" rtl="0" eaLnBrk="1" latinLnBrk="0" hangingPunct="1">
                <a:defRPr sz="1800" kern="1200">
                  <a:solidFill>
                    <a:schemeClr val="tx1"/>
                  </a:solidFill>
                  <a:latin typeface="+mn-lt"/>
                  <a:ea typeface="+mn-ea"/>
                  <a:cs typeface="+mn-cs"/>
                </a:defRPr>
              </a:lvl8pPr>
              <a:lvl9pPr marL="3657600" algn="l" defTabSz="914400" rtl="0" eaLnBrk="1" latinLnBrk="0" hangingPunct="1">
                <a:defRPr sz="1800" kern="1200">
                  <a:solidFill>
                    <a:schemeClr val="tx1"/>
                  </a:solidFill>
                  <a:latin typeface="+mn-lt"/>
                  <a:ea typeface="+mn-ea"/>
                  <a:cs typeface="+mn-cs"/>
                </a:defRPr>
              </a:lvl9pPr>
            </a:lstStyle>
            <a:p>
              <a:pPr/>
              <a:r>
                <a:rPr lang="en-US" b="0" i="0">
                  <a:latin typeface="Cambria Math" panose="02040503050406030204" pitchFamily="18" charset="0"/>
                </a:rPr>
                <a:t>𝐷𝑒𝑏𝑡/(𝐷𝑒𝑏𝑡+𝐸𝑞𝑢𝑖𝑡𝑦)</a:t>
              </a:r>
              <a:endParaRPr lang="en-US"/>
            </a:p>
          </xdr:txBody>
        </xdr:sp>
      </mc:Fallback>
    </mc:AlternateContent>
    <xdr:clientData/>
  </xdr:twoCellAnchor>
</xdr:wsDr>
</file>

<file path=xl/drawings/drawing12.xml><?xml version="1.0" encoding="utf-8"?>
<xdr:wsDr xmlns:xdr="http://schemas.openxmlformats.org/drawingml/2006/spreadsheetDrawing" xmlns:a="http://schemas.openxmlformats.org/drawingml/2006/main">
  <xdr:oneCellAnchor>
    <xdr:from>
      <xdr:col>0</xdr:col>
      <xdr:colOff>390781</xdr:colOff>
      <xdr:row>2</xdr:row>
      <xdr:rowOff>47645</xdr:rowOff>
    </xdr:from>
    <xdr:ext cx="3924064" cy="1443225"/>
    <mc:AlternateContent xmlns:mc="http://schemas.openxmlformats.org/markup-compatibility/2006">
      <mc:Choice xmlns:a14="http://schemas.microsoft.com/office/drawing/2010/main" Requires="a14">
        <xdr:sp macro="" textlink="">
          <xdr:nvSpPr>
            <xdr:cNvPr id="2" name="TextBox 1">
              <a:extLst>
                <a:ext uri="{FF2B5EF4-FFF2-40B4-BE49-F238E27FC236}">
                  <a16:creationId xmlns:a16="http://schemas.microsoft.com/office/drawing/2014/main" id="{91EC5DD3-36DE-D952-51C9-98A3266512FB}"/>
                </a:ext>
              </a:extLst>
            </xdr:cNvPr>
            <xdr:cNvSpPr txBox="1"/>
          </xdr:nvSpPr>
          <xdr:spPr>
            <a:xfrm>
              <a:off x="390781" y="457831"/>
              <a:ext cx="3924064" cy="14432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r>
                <a:rPr lang="en-US" sz="1100"/>
                <a:t>Por ejemplo</a:t>
              </a:r>
            </a:p>
            <a:p>
              <a:r>
                <a:rPr lang="en-US" sz="1100"/>
                <a:t>Con</a:t>
              </a:r>
              <a:r>
                <a:rPr lang="en-US" sz="1100" baseline="0"/>
                <a:t> el metodo de comparables,</a:t>
              </a:r>
              <a:endParaRPr lang="en-US" sz="1100" b="0" i="1">
                <a:latin typeface="Cambria Math" panose="02040503050406030204" pitchFamily="18" charset="0"/>
              </a:endParaRPr>
            </a:p>
            <a:p>
              <a14:m>
                <m:oMathPara xmlns:m="http://schemas.openxmlformats.org/officeDocument/2006/math">
                  <m:oMathParaPr>
                    <m:jc m:val="centerGroup"/>
                  </m:oMathParaPr>
                  <m:oMath xmlns:m="http://schemas.openxmlformats.org/officeDocument/2006/math">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r>
                          <a:rPr lang="es-ES" sz="1100" b="0" i="1">
                            <a:latin typeface="Cambria Math" panose="02040503050406030204" pitchFamily="18" charset="0"/>
                          </a:rPr>
                          <m:t>𝐸</m:t>
                        </m:r>
                      </m:den>
                    </m:f>
                    <m:d>
                      <m:dPr>
                        <m:ctrlPr>
                          <a:rPr lang="es-ES" sz="1100" b="0" i="1">
                            <a:latin typeface="Cambria Math" panose="02040503050406030204" pitchFamily="18" charset="0"/>
                          </a:rPr>
                        </m:ctrlPr>
                      </m:dPr>
                      <m:e>
                        <m:r>
                          <a:rPr lang="es-ES" sz="1100" b="0" i="1">
                            <a:latin typeface="Cambria Math" panose="02040503050406030204" pitchFamily="18" charset="0"/>
                          </a:rPr>
                          <m:t>𝑒𝑚𝑝𝑟𝑒𝑠𝑎</m:t>
                        </m:r>
                      </m:e>
                    </m:d>
                    <m:r>
                      <a:rPr lang="es-ES" sz="1100" b="0" i="1">
                        <a:latin typeface="Cambria Math" panose="02040503050406030204" pitchFamily="18" charset="0"/>
                      </a:rPr>
                      <m:t>&lt;</m:t>
                    </m:r>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r>
                          <a:rPr lang="es-ES" sz="1100" b="0" i="1">
                            <a:latin typeface="Cambria Math" panose="02040503050406030204" pitchFamily="18" charset="0"/>
                          </a:rPr>
                          <m:t>𝐸</m:t>
                        </m:r>
                      </m:den>
                    </m:f>
                    <m:d>
                      <m:dPr>
                        <m:ctrlPr>
                          <a:rPr lang="es-ES" sz="1100" b="0" i="1">
                            <a:latin typeface="Cambria Math" panose="02040503050406030204" pitchFamily="18" charset="0"/>
                          </a:rPr>
                        </m:ctrlPr>
                      </m:dPr>
                      <m:e>
                        <m:r>
                          <a:rPr lang="es-ES" sz="1100" b="0" i="1">
                            <a:latin typeface="Cambria Math" panose="02040503050406030204" pitchFamily="18" charset="0"/>
                          </a:rPr>
                          <m:t>𝑠𝑖𝑚𝑖𝑙𝑎𝑟𝑒𝑠</m:t>
                        </m:r>
                      </m:e>
                    </m:d>
                  </m:oMath>
                </m:oMathPara>
              </a14:m>
              <a:endParaRPr lang="es-ES" sz="1100" b="0"/>
            </a:p>
            <a:p>
              <a:r>
                <a:rPr lang="en-US" sz="1100"/>
                <a:t>quiere decir que esta sub-valuada</a:t>
              </a:r>
            </a:p>
          </xdr:txBody>
        </xdr:sp>
      </mc:Choice>
      <mc:Fallback>
        <xdr:sp macro="" textlink="">
          <xdr:nvSpPr>
            <xdr:cNvPr id="2" name="TextBox 1">
              <a:extLst>
                <a:ext uri="{FF2B5EF4-FFF2-40B4-BE49-F238E27FC236}">
                  <a16:creationId xmlns:a16="http://schemas.microsoft.com/office/drawing/2014/main" id="{91EC5DD3-36DE-D952-51C9-98A3266512FB}"/>
                </a:ext>
              </a:extLst>
            </xdr:cNvPr>
            <xdr:cNvSpPr txBox="1"/>
          </xdr:nvSpPr>
          <xdr:spPr>
            <a:xfrm>
              <a:off x="390781" y="457831"/>
              <a:ext cx="3924064" cy="144322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noAutofit/>
            </a:bodyPr>
            <a:lstStyle/>
            <a:p>
              <a:r>
                <a:rPr lang="en-US" sz="1100"/>
                <a:t>Por ejemplo</a:t>
              </a:r>
            </a:p>
            <a:p>
              <a:r>
                <a:rPr lang="en-US" sz="1100"/>
                <a:t>Con</a:t>
              </a:r>
              <a:r>
                <a:rPr lang="en-US" sz="1100" baseline="0"/>
                <a:t> el metodo de comparables,</a:t>
              </a:r>
              <a:endParaRPr lang="en-US" sz="1100" b="0" i="1">
                <a:latin typeface="Cambria Math" panose="02040503050406030204" pitchFamily="18" charset="0"/>
              </a:endParaRPr>
            </a:p>
            <a:p>
              <a:r>
                <a:rPr lang="es-ES" sz="1100" b="0" i="0">
                  <a:latin typeface="Cambria Math" panose="02040503050406030204" pitchFamily="18" charset="0"/>
                </a:rPr>
                <a:t>𝑃/𝐸 (𝑒𝑚𝑝𝑟𝑒𝑠𝑎)&lt;𝑃/𝐸 (𝑠𝑖𝑚𝑖𝑙𝑎𝑟𝑒𝑠)</a:t>
              </a:r>
              <a:endParaRPr lang="es-ES" sz="1100" b="0"/>
            </a:p>
            <a:p>
              <a:r>
                <a:rPr lang="en-US" sz="1100"/>
                <a:t>quiere decir que esta sub-valuada</a:t>
              </a:r>
            </a:p>
          </xdr:txBody>
        </xdr:sp>
      </mc:Fallback>
    </mc:AlternateContent>
    <xdr:clientData/>
  </xdr:oneCellAnchor>
  <xdr:oneCellAnchor>
    <xdr:from>
      <xdr:col>0</xdr:col>
      <xdr:colOff>0</xdr:colOff>
      <xdr:row>47</xdr:row>
      <xdr:rowOff>189632</xdr:rowOff>
    </xdr:from>
    <xdr:ext cx="3795141" cy="351506"/>
    <mc:AlternateContent xmlns:mc="http://schemas.openxmlformats.org/markup-compatibility/2006">
      <mc:Choice xmlns:a14="http://schemas.microsoft.com/office/drawing/2010/main" Requires="a14">
        <xdr:sp macro="" textlink="">
          <xdr:nvSpPr>
            <xdr:cNvPr id="3" name="TextBox 2">
              <a:extLst>
                <a:ext uri="{FF2B5EF4-FFF2-40B4-BE49-F238E27FC236}">
                  <a16:creationId xmlns:a16="http://schemas.microsoft.com/office/drawing/2014/main" id="{3815DBB6-EFEB-FB31-749E-4B80C7E4E498}"/>
                </a:ext>
              </a:extLst>
            </xdr:cNvPr>
            <xdr:cNvSpPr txBox="1"/>
          </xdr:nvSpPr>
          <xdr:spPr>
            <a:xfrm>
              <a:off x="0" y="10341744"/>
              <a:ext cx="3795141"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Para xmlns:m="http://schemas.openxmlformats.org/officeDocument/2006/math">
                  <m:oMathParaPr>
                    <m:jc m:val="centerGroup"/>
                  </m:oMathParaPr>
                  <m:oMath xmlns:m="http://schemas.openxmlformats.org/officeDocument/2006/math">
                    <m:r>
                      <a:rPr lang="es-ES" sz="1100" b="0" i="1">
                        <a:latin typeface="Cambria Math" panose="02040503050406030204" pitchFamily="18" charset="0"/>
                      </a:rPr>
                      <m:t>𝐵𝐴𝑆𝐼𝐶</m:t>
                    </m:r>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𝑁𝑒𝑡</m:t>
                        </m:r>
                        <m:r>
                          <a:rPr lang="es-ES" sz="1100" b="0" i="1">
                            <a:latin typeface="Cambria Math" panose="02040503050406030204" pitchFamily="18" charset="0"/>
                          </a:rPr>
                          <m:t> </m:t>
                        </m:r>
                        <m:r>
                          <a:rPr lang="es-ES" sz="1100" b="0" i="1">
                            <a:latin typeface="Cambria Math" panose="02040503050406030204" pitchFamily="18" charset="0"/>
                          </a:rPr>
                          <m:t>𝐼𝑛𝑐𝑜𝑚𝑒</m:t>
                        </m:r>
                        <m:r>
                          <a:rPr lang="es-ES" sz="1100" b="0" i="1">
                            <a:latin typeface="Cambria Math" panose="02040503050406030204" pitchFamily="18" charset="0"/>
                          </a:rPr>
                          <m:t> −</m:t>
                        </m:r>
                        <m:r>
                          <a:rPr lang="es-ES" sz="1100" b="0" i="1">
                            <a:latin typeface="Cambria Math" panose="02040503050406030204" pitchFamily="18" charset="0"/>
                          </a:rPr>
                          <m:t>𝑃𝑟𝑒𝑓𝑒𝑟𝑟𝑒𝑑</m:t>
                        </m:r>
                        <m:r>
                          <a:rPr lang="es-ES" sz="1100" b="0" i="1">
                            <a:latin typeface="Cambria Math" panose="02040503050406030204" pitchFamily="18" charset="0"/>
                          </a:rPr>
                          <m:t> </m:t>
                        </m:r>
                        <m:r>
                          <a:rPr lang="es-ES" sz="1100" b="0" i="1">
                            <a:latin typeface="Cambria Math" panose="02040503050406030204" pitchFamily="18" charset="0"/>
                          </a:rPr>
                          <m:t>𝐷𝑖𝑣𝑖𝑑𝑒𝑛𝑑𝑠</m:t>
                        </m:r>
                      </m:num>
                      <m:den>
                        <m:r>
                          <a:rPr lang="es-ES" sz="1100" b="0" i="1">
                            <a:latin typeface="Cambria Math" panose="02040503050406030204" pitchFamily="18" charset="0"/>
                          </a:rPr>
                          <m:t>𝑊𝑒𝑖𝑔h𝑡𝑒𝑑</m:t>
                        </m:r>
                        <m:r>
                          <a:rPr lang="es-ES" sz="1100" b="0" i="1">
                            <a:latin typeface="Cambria Math" panose="02040503050406030204" pitchFamily="18" charset="0"/>
                          </a:rPr>
                          <m:t> </m:t>
                        </m:r>
                        <m:r>
                          <a:rPr lang="es-ES" sz="1100" b="0" i="1">
                            <a:latin typeface="Cambria Math" panose="02040503050406030204" pitchFamily="18" charset="0"/>
                          </a:rPr>
                          <m:t>𝑎𝑣𝑒𝑟𝑎𝑔𝑒</m:t>
                        </m:r>
                        <m:r>
                          <a:rPr lang="es-ES" sz="1100" b="0" i="1">
                            <a:latin typeface="Cambria Math" panose="02040503050406030204" pitchFamily="18" charset="0"/>
                          </a:rPr>
                          <m:t> </m:t>
                        </m:r>
                        <m:r>
                          <a:rPr lang="es-ES" sz="1100" b="0" i="1">
                            <a:latin typeface="Cambria Math" panose="02040503050406030204" pitchFamily="18" charset="0"/>
                          </a:rPr>
                          <m:t>𝑛𝑢𝑚𝑏𝑒𝑟</m:t>
                        </m:r>
                        <m:r>
                          <a:rPr lang="es-ES" sz="1100" b="0" i="1">
                            <a:latin typeface="Cambria Math" panose="02040503050406030204" pitchFamily="18" charset="0"/>
                          </a:rPr>
                          <m:t> </m:t>
                        </m:r>
                        <m:r>
                          <a:rPr lang="es-ES" sz="1100" b="0" i="1">
                            <a:latin typeface="Cambria Math" panose="02040503050406030204" pitchFamily="18" charset="0"/>
                          </a:rPr>
                          <m:t>𝑜𝑓</m:t>
                        </m:r>
                        <m:r>
                          <a:rPr lang="es-ES" sz="1100" b="0" i="1">
                            <a:latin typeface="Cambria Math" panose="02040503050406030204" pitchFamily="18" charset="0"/>
                          </a:rPr>
                          <m:t> </m:t>
                        </m:r>
                        <m:r>
                          <a:rPr lang="es-ES" sz="1100" b="0" i="1">
                            <a:latin typeface="Cambria Math" panose="02040503050406030204" pitchFamily="18" charset="0"/>
                          </a:rPr>
                          <m:t>𝑠h𝑎𝑟𝑒𝑠</m:t>
                        </m:r>
                        <m:r>
                          <a:rPr lang="es-ES" sz="1100" b="0" i="1">
                            <a:latin typeface="Cambria Math" panose="02040503050406030204" pitchFamily="18" charset="0"/>
                          </a:rPr>
                          <m:t> </m:t>
                        </m:r>
                        <m:r>
                          <a:rPr lang="es-ES" sz="1100" b="0" i="1">
                            <a:latin typeface="Cambria Math" panose="02040503050406030204" pitchFamily="18" charset="0"/>
                          </a:rPr>
                          <m:t>𝑜𝑢𝑡𝑠𝑡𝑎𝑛𝑑𝑖𝑛𝑔</m:t>
                        </m:r>
                      </m:den>
                    </m:f>
                  </m:oMath>
                </m:oMathPara>
              </a14:m>
              <a:endParaRPr lang="en-US" sz="1100"/>
            </a:p>
          </xdr:txBody>
        </xdr:sp>
      </mc:Choice>
      <mc:Fallback>
        <xdr:sp macro="" textlink="">
          <xdr:nvSpPr>
            <xdr:cNvPr id="3" name="TextBox 2">
              <a:extLst>
                <a:ext uri="{FF2B5EF4-FFF2-40B4-BE49-F238E27FC236}">
                  <a16:creationId xmlns:a16="http://schemas.microsoft.com/office/drawing/2014/main" id="{3815DBB6-EFEB-FB31-749E-4B80C7E4E498}"/>
                </a:ext>
              </a:extLst>
            </xdr:cNvPr>
            <xdr:cNvSpPr txBox="1"/>
          </xdr:nvSpPr>
          <xdr:spPr>
            <a:xfrm>
              <a:off x="0" y="10341744"/>
              <a:ext cx="3795141" cy="3515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ES" sz="1100" b="0" i="0">
                  <a:latin typeface="Cambria Math" panose="02040503050406030204" pitchFamily="18" charset="0"/>
                </a:rPr>
                <a:t>𝐵𝐴𝑆𝐼𝐶=(𝑁𝑒𝑡 𝐼𝑛𝑐𝑜𝑚𝑒 −𝑃𝑟𝑒𝑓𝑒𝑟𝑟𝑒𝑑 𝐷𝑖𝑣𝑖𝑑𝑒𝑛𝑑𝑠)/(𝑊𝑒𝑖𝑔ℎ𝑡𝑒𝑑 𝑎𝑣𝑒𝑟𝑎𝑔𝑒 𝑛𝑢𝑚𝑏𝑒𝑟 𝑜𝑓 𝑠ℎ𝑎𝑟𝑒𝑠 𝑜𝑢𝑡𝑠𝑡𝑎𝑛𝑑𝑖𝑛𝑔)</a:t>
              </a:r>
              <a:endParaRPr lang="en-US" sz="1100"/>
            </a:p>
          </xdr:txBody>
        </xdr:sp>
      </mc:Fallback>
    </mc:AlternateContent>
    <xdr:clientData/>
  </xdr:oneCellAnchor>
  <xdr:oneCellAnchor>
    <xdr:from>
      <xdr:col>0</xdr:col>
      <xdr:colOff>0</xdr:colOff>
      <xdr:row>70</xdr:row>
      <xdr:rowOff>0</xdr:rowOff>
    </xdr:from>
    <xdr:ext cx="9899689" cy="1047210"/>
    <mc:AlternateContent xmlns:mc="http://schemas.openxmlformats.org/markup-compatibility/2006">
      <mc:Choice xmlns:a14="http://schemas.microsoft.com/office/drawing/2010/main" Requires="a14">
        <xdr:sp macro="" textlink="">
          <xdr:nvSpPr>
            <xdr:cNvPr id="4" name="TextBox 3">
              <a:extLst>
                <a:ext uri="{FF2B5EF4-FFF2-40B4-BE49-F238E27FC236}">
                  <a16:creationId xmlns:a16="http://schemas.microsoft.com/office/drawing/2014/main" id="{50893023-C17B-354E-B6A9-947DABD20C62}"/>
                </a:ext>
              </a:extLst>
            </xdr:cNvPr>
            <xdr:cNvSpPr txBox="1"/>
          </xdr:nvSpPr>
          <xdr:spPr>
            <a:xfrm>
              <a:off x="0" y="14948137"/>
              <a:ext cx="9899689" cy="10472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Para xmlns:m="http://schemas.openxmlformats.org/officeDocument/2006/math">
                  <m:oMathParaPr>
                    <m:jc m:val="centerGroup"/>
                  </m:oMathParaPr>
                  <m:oMath xmlns:m="http://schemas.openxmlformats.org/officeDocument/2006/math">
                    <m:r>
                      <a:rPr lang="es-ES" sz="1100" b="0" i="1">
                        <a:latin typeface="Cambria Math" panose="02040503050406030204" pitchFamily="18" charset="0"/>
                      </a:rPr>
                      <m:t>𝐷𝐼𝐿𝑈𝑇𝐸𝐷</m:t>
                    </m:r>
                    <m:r>
                      <a:rPr lang="es-ES" sz="1100" b="0" i="1">
                        <a:latin typeface="Cambria Math" panose="02040503050406030204" pitchFamily="18" charset="0"/>
                      </a:rPr>
                      <m:t> </m:t>
                    </m:r>
                    <m:r>
                      <a:rPr lang="es-ES" sz="1100" b="0" i="1">
                        <a:latin typeface="Cambria Math" panose="02040503050406030204" pitchFamily="18" charset="0"/>
                      </a:rPr>
                      <m:t>𝑐𝑜𝑛</m:t>
                    </m:r>
                    <m:r>
                      <a:rPr lang="es-ES" sz="1100" b="0" i="1">
                        <a:latin typeface="Cambria Math" panose="02040503050406030204" pitchFamily="18" charset="0"/>
                      </a:rPr>
                      <m:t> </m:t>
                    </m:r>
                    <m:r>
                      <a:rPr lang="es-ES" sz="1100" b="0" i="1">
                        <a:latin typeface="Cambria Math" panose="02040503050406030204" pitchFamily="18" charset="0"/>
                      </a:rPr>
                      <m:t>𝑎𝑐𝑐𝑖𝑜𝑛𝑒𝑠</m:t>
                    </m:r>
                    <m:r>
                      <a:rPr lang="es-ES" sz="1100" b="0" i="1">
                        <a:latin typeface="Cambria Math" panose="02040503050406030204" pitchFamily="18" charset="0"/>
                      </a:rPr>
                      <m:t> </m:t>
                    </m:r>
                    <m:r>
                      <a:rPr lang="es-ES" sz="1100" b="0" i="1">
                        <a:latin typeface="Cambria Math" panose="02040503050406030204" pitchFamily="18" charset="0"/>
                      </a:rPr>
                      <m:t>𝑝𝑟𝑒𝑓</m:t>
                    </m:r>
                    <m:r>
                      <a:rPr lang="es-ES" sz="1100" b="0" i="1">
                        <a:latin typeface="Cambria Math" panose="02040503050406030204" pitchFamily="18" charset="0"/>
                      </a:rPr>
                      <m:t>. </m:t>
                    </m:r>
                    <m:r>
                      <a:rPr lang="es-ES" sz="1100" b="0" i="1">
                        <a:latin typeface="Cambria Math" panose="02040503050406030204" pitchFamily="18" charset="0"/>
                      </a:rPr>
                      <m:t>𝑐𝑜𝑛𝑣𝑒𝑟𝑡𝑖𝑏𝑙𝑒𝑠</m:t>
                    </m:r>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𝑁𝑒𝑡</m:t>
                        </m:r>
                        <m:r>
                          <a:rPr lang="es-ES" sz="1100" b="0" i="1">
                            <a:latin typeface="Cambria Math" panose="02040503050406030204" pitchFamily="18" charset="0"/>
                          </a:rPr>
                          <m:t> </m:t>
                        </m:r>
                        <m:r>
                          <a:rPr lang="es-ES" sz="1100" b="0" i="1">
                            <a:latin typeface="Cambria Math" panose="02040503050406030204" pitchFamily="18" charset="0"/>
                          </a:rPr>
                          <m:t>𝐼𝑛𝑐𝑜𝑚𝑒</m:t>
                        </m:r>
                        <m:r>
                          <a:rPr lang="es-ES" sz="1100" b="0" i="1">
                            <a:latin typeface="Cambria Math" panose="02040503050406030204" pitchFamily="18" charset="0"/>
                          </a:rPr>
                          <m:t> </m:t>
                        </m:r>
                      </m:num>
                      <m:den>
                        <m:r>
                          <a:rPr lang="es-ES" sz="1100" b="0" i="1">
                            <a:latin typeface="Cambria Math" panose="02040503050406030204" pitchFamily="18" charset="0"/>
                          </a:rPr>
                          <m:t>𝑊𝑒𝑖𝑔h𝑡𝑒𝑑</m:t>
                        </m:r>
                        <m:r>
                          <a:rPr lang="es-ES" sz="1100" b="0" i="1">
                            <a:latin typeface="Cambria Math" panose="02040503050406030204" pitchFamily="18" charset="0"/>
                          </a:rPr>
                          <m:t> </m:t>
                        </m:r>
                        <m:r>
                          <a:rPr lang="es-ES" sz="1100" b="0" i="1">
                            <a:latin typeface="Cambria Math" panose="02040503050406030204" pitchFamily="18" charset="0"/>
                          </a:rPr>
                          <m:t>𝑎𝑣𝑒𝑟𝑎𝑔𝑒</m:t>
                        </m:r>
                        <m:r>
                          <a:rPr lang="es-ES" sz="1100" b="0" i="1">
                            <a:latin typeface="Cambria Math" panose="02040503050406030204" pitchFamily="18" charset="0"/>
                          </a:rPr>
                          <m:t> </m:t>
                        </m:r>
                        <m:r>
                          <a:rPr lang="es-ES" sz="1100" b="0" i="1">
                            <a:latin typeface="Cambria Math" panose="02040503050406030204" pitchFamily="18" charset="0"/>
                          </a:rPr>
                          <m:t>𝑛𝑢𝑚𝑏𝑒𝑟</m:t>
                        </m:r>
                        <m:r>
                          <a:rPr lang="es-ES" sz="1100" b="0" i="1">
                            <a:latin typeface="Cambria Math" panose="02040503050406030204" pitchFamily="18" charset="0"/>
                          </a:rPr>
                          <m:t> </m:t>
                        </m:r>
                        <m:r>
                          <a:rPr lang="es-ES" sz="1100" b="0" i="1">
                            <a:latin typeface="Cambria Math" panose="02040503050406030204" pitchFamily="18" charset="0"/>
                          </a:rPr>
                          <m:t>𝑜𝑓</m:t>
                        </m:r>
                        <m:r>
                          <a:rPr lang="es-ES" sz="1100" b="0" i="1">
                            <a:latin typeface="Cambria Math" panose="02040503050406030204" pitchFamily="18" charset="0"/>
                          </a:rPr>
                          <m:t> </m:t>
                        </m:r>
                        <m:r>
                          <a:rPr lang="es-ES" sz="1100" b="0" i="1">
                            <a:latin typeface="Cambria Math" panose="02040503050406030204" pitchFamily="18" charset="0"/>
                          </a:rPr>
                          <m:t>𝑠h𝑎𝑟𝑒𝑠</m:t>
                        </m:r>
                        <m:r>
                          <a:rPr lang="es-ES" sz="1100" b="0" i="1">
                            <a:latin typeface="Cambria Math" panose="02040503050406030204" pitchFamily="18" charset="0"/>
                          </a:rPr>
                          <m:t> </m:t>
                        </m:r>
                        <m:r>
                          <a:rPr lang="es-ES" sz="1100" b="0" i="1">
                            <a:latin typeface="Cambria Math" panose="02040503050406030204" pitchFamily="18" charset="0"/>
                          </a:rPr>
                          <m:t>𝑜𝑢𝑡𝑠𝑡𝑎𝑛𝑑𝑖𝑛𝑔</m:t>
                        </m:r>
                        <m:r>
                          <a:rPr lang="es-ES" sz="1100" b="0" i="1">
                            <a:latin typeface="Cambria Math" panose="02040503050406030204" pitchFamily="18" charset="0"/>
                          </a:rPr>
                          <m:t>+</m:t>
                        </m:r>
                        <m:r>
                          <a:rPr lang="es-ES" sz="1100" b="0" i="1">
                            <a:latin typeface="Cambria Math" panose="02040503050406030204" pitchFamily="18" charset="0"/>
                          </a:rPr>
                          <m:t>𝑐𝑜𝑚𝑚𝑜𝑛</m:t>
                        </m:r>
                        <m:r>
                          <a:rPr lang="es-ES" sz="1100" b="0" i="1">
                            <a:latin typeface="Cambria Math" panose="02040503050406030204" pitchFamily="18" charset="0"/>
                          </a:rPr>
                          <m:t> </m:t>
                        </m:r>
                        <m:r>
                          <a:rPr lang="es-ES" sz="1100" b="0" i="1">
                            <a:latin typeface="Cambria Math" panose="02040503050406030204" pitchFamily="18" charset="0"/>
                          </a:rPr>
                          <m:t>𝑠h𝑎𝑟𝑒𝑠</m:t>
                        </m:r>
                        <m:r>
                          <a:rPr lang="es-ES" sz="1100" b="0" i="1">
                            <a:latin typeface="Cambria Math" panose="02040503050406030204" pitchFamily="18" charset="0"/>
                          </a:rPr>
                          <m:t> </m:t>
                        </m:r>
                        <m:r>
                          <a:rPr lang="es-ES" sz="1100" b="0" i="1">
                            <a:latin typeface="Cambria Math" panose="02040503050406030204" pitchFamily="18" charset="0"/>
                          </a:rPr>
                          <m:t>𝑡h𝑎𝑡</m:t>
                        </m:r>
                        <m:r>
                          <a:rPr lang="es-ES" sz="1100" b="0" i="1">
                            <a:latin typeface="Cambria Math" panose="02040503050406030204" pitchFamily="18" charset="0"/>
                          </a:rPr>
                          <m:t> </m:t>
                        </m:r>
                        <m:r>
                          <a:rPr lang="es-ES" sz="1100" b="0" i="1">
                            <a:latin typeface="Cambria Math" panose="02040503050406030204" pitchFamily="18" charset="0"/>
                          </a:rPr>
                          <m:t>𝑤𝑜𝑢𝑙𝑑</m:t>
                        </m:r>
                        <m:r>
                          <a:rPr lang="es-ES" sz="1100" b="0" i="1">
                            <a:latin typeface="Cambria Math" panose="02040503050406030204" pitchFamily="18" charset="0"/>
                          </a:rPr>
                          <m:t> </m:t>
                        </m:r>
                        <m:r>
                          <a:rPr lang="es-ES" sz="1100" b="0" i="1">
                            <a:latin typeface="Cambria Math" panose="02040503050406030204" pitchFamily="18" charset="0"/>
                          </a:rPr>
                          <m:t>h𝑎𝑣𝑒</m:t>
                        </m:r>
                        <m:r>
                          <a:rPr lang="es-ES" sz="1100" b="0" i="1">
                            <a:latin typeface="Cambria Math" panose="02040503050406030204" pitchFamily="18" charset="0"/>
                          </a:rPr>
                          <m:t> </m:t>
                        </m:r>
                        <m:r>
                          <a:rPr lang="es-ES" sz="1100" b="0" i="1">
                            <a:latin typeface="Cambria Math" panose="02040503050406030204" pitchFamily="18" charset="0"/>
                          </a:rPr>
                          <m:t>𝑏𝑒𝑒𝑛</m:t>
                        </m:r>
                        <m:r>
                          <a:rPr lang="es-ES" sz="1100" b="0" i="1">
                            <a:latin typeface="Cambria Math" panose="02040503050406030204" pitchFamily="18" charset="0"/>
                          </a:rPr>
                          <m:t> </m:t>
                        </m:r>
                        <m:r>
                          <a:rPr lang="es-ES" sz="1100" b="0" i="1">
                            <a:latin typeface="Cambria Math" panose="02040503050406030204" pitchFamily="18" charset="0"/>
                          </a:rPr>
                          <m:t>𝑖𝑠𝑠𝑢𝑒𝑑</m:t>
                        </m:r>
                        <m:r>
                          <a:rPr lang="es-ES" sz="1100" b="0" i="1">
                            <a:latin typeface="Cambria Math" panose="02040503050406030204" pitchFamily="18" charset="0"/>
                          </a:rPr>
                          <m:t> </m:t>
                        </m:r>
                        <m:r>
                          <a:rPr lang="es-ES" sz="1100" b="0" i="1">
                            <a:latin typeface="Cambria Math" panose="02040503050406030204" pitchFamily="18" charset="0"/>
                          </a:rPr>
                          <m:t>𝑎𝑡</m:t>
                        </m:r>
                        <m:r>
                          <a:rPr lang="es-ES" sz="1100" b="0" i="1">
                            <a:latin typeface="Cambria Math" panose="02040503050406030204" pitchFamily="18" charset="0"/>
                          </a:rPr>
                          <m:t> </m:t>
                        </m:r>
                        <m:r>
                          <a:rPr lang="es-ES" sz="1100" b="0" i="1">
                            <a:latin typeface="Cambria Math" panose="02040503050406030204" pitchFamily="18" charset="0"/>
                          </a:rPr>
                          <m:t>𝑐𝑜𝑛𝑣𝑒𝑟𝑠𝑖𝑜𝑛</m:t>
                        </m:r>
                      </m:den>
                    </m:f>
                  </m:oMath>
                </m:oMathPara>
              </a14:m>
              <a:endParaRPr lang="es-ES" sz="1100" b="0"/>
            </a:p>
            <a:p>
              <a:endParaRPr lang="es-ES" sz="1100" b="0"/>
            </a:p>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s-ES" sz="1100" b="0" i="1">
                        <a:latin typeface="Cambria Math" panose="02040503050406030204" pitchFamily="18" charset="0"/>
                      </a:rPr>
                      <m:t>𝐷𝐼𝐿𝑈𝑇𝐸𝐷</m:t>
                    </m:r>
                    <m:r>
                      <a:rPr lang="es-ES" sz="1100" b="0" i="1">
                        <a:latin typeface="Cambria Math" panose="02040503050406030204" pitchFamily="18" charset="0"/>
                      </a:rPr>
                      <m:t> </m:t>
                    </m:r>
                    <m:r>
                      <a:rPr lang="es-ES" sz="1100" b="0" i="1">
                        <a:latin typeface="Cambria Math" panose="02040503050406030204" pitchFamily="18" charset="0"/>
                      </a:rPr>
                      <m:t>𝑐𝑜𝑛</m:t>
                    </m:r>
                    <m:r>
                      <a:rPr lang="es-ES" sz="1100" b="0" i="1">
                        <a:latin typeface="Cambria Math" panose="02040503050406030204" pitchFamily="18" charset="0"/>
                      </a:rPr>
                      <m:t> </m:t>
                    </m:r>
                    <m:r>
                      <a:rPr lang="es-ES" sz="1100" b="0" i="1">
                        <a:latin typeface="Cambria Math" panose="02040503050406030204" pitchFamily="18" charset="0"/>
                      </a:rPr>
                      <m:t>𝑑𝑒𝑢𝑑𝑎</m:t>
                    </m:r>
                    <m:r>
                      <a:rPr lang="es-ES" sz="1100" b="0" i="1">
                        <a:latin typeface="Cambria Math" panose="02040503050406030204" pitchFamily="18" charset="0"/>
                      </a:rPr>
                      <m:t> </m:t>
                    </m:r>
                    <m:r>
                      <a:rPr lang="es-ES" sz="1100" b="0" i="1">
                        <a:latin typeface="Cambria Math" panose="02040503050406030204" pitchFamily="18" charset="0"/>
                      </a:rPr>
                      <m:t>𝑐𝑜𝑛𝑣𝑒𝑟𝑡𝑖𝑏𝑙𝑒</m:t>
                    </m:r>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𝑁𝑒𝑡</m:t>
                        </m:r>
                        <m:r>
                          <a:rPr lang="es-ES" sz="1100" b="0" i="1">
                            <a:latin typeface="Cambria Math" panose="02040503050406030204" pitchFamily="18" charset="0"/>
                          </a:rPr>
                          <m:t> </m:t>
                        </m:r>
                        <m:r>
                          <a:rPr lang="es-ES" sz="1100" b="0" i="1">
                            <a:latin typeface="Cambria Math" panose="02040503050406030204" pitchFamily="18" charset="0"/>
                          </a:rPr>
                          <m:t>𝐼𝑛𝑐𝑜𝑚𝑒</m:t>
                        </m:r>
                        <m:r>
                          <a:rPr lang="es-ES" sz="1100" b="0" i="1">
                            <a:latin typeface="Cambria Math" panose="02040503050406030204" pitchFamily="18" charset="0"/>
                          </a:rPr>
                          <m:t>+</m:t>
                        </m:r>
                        <m:r>
                          <a:rPr lang="es-ES" sz="1100" b="0" i="1">
                            <a:latin typeface="Cambria Math" panose="02040503050406030204" pitchFamily="18" charset="0"/>
                          </a:rPr>
                          <m:t>𝐴𝑓𝑡𝑒𝑟</m:t>
                        </m:r>
                        <m:r>
                          <a:rPr lang="es-ES" sz="1100" b="0" i="1">
                            <a:latin typeface="Cambria Math" panose="02040503050406030204" pitchFamily="18" charset="0"/>
                          </a:rPr>
                          <m:t> </m:t>
                        </m:r>
                        <m:r>
                          <a:rPr lang="es-ES" sz="1100" b="0" i="1">
                            <a:latin typeface="Cambria Math" panose="02040503050406030204" pitchFamily="18" charset="0"/>
                          </a:rPr>
                          <m:t>𝑡𝑎𝑥</m:t>
                        </m:r>
                        <m:r>
                          <a:rPr lang="es-ES" sz="1100" b="0" i="1">
                            <a:latin typeface="Cambria Math" panose="02040503050406030204" pitchFamily="18" charset="0"/>
                          </a:rPr>
                          <m:t> </m:t>
                        </m:r>
                        <m:r>
                          <a:rPr lang="es-ES" sz="1100" b="0" i="1">
                            <a:latin typeface="Cambria Math" panose="02040503050406030204" pitchFamily="18" charset="0"/>
                          </a:rPr>
                          <m:t>𝑖𝑛𝑡𝑒𝑟𝑒𝑠𝑡</m:t>
                        </m:r>
                        <m:r>
                          <a:rPr lang="es-ES" sz="1100" b="0" i="1">
                            <a:latin typeface="Cambria Math" panose="02040503050406030204" pitchFamily="18" charset="0"/>
                          </a:rPr>
                          <m:t> </m:t>
                        </m:r>
                        <m:r>
                          <a:rPr lang="es-ES" sz="1100" b="0" i="1">
                            <a:latin typeface="Cambria Math" panose="02040503050406030204" pitchFamily="18" charset="0"/>
                          </a:rPr>
                          <m:t>𝑜𝑛</m:t>
                        </m:r>
                        <m:r>
                          <a:rPr lang="es-ES" sz="1100" b="0" i="1">
                            <a:latin typeface="Cambria Math" panose="02040503050406030204" pitchFamily="18" charset="0"/>
                          </a:rPr>
                          <m:t> </m:t>
                        </m:r>
                        <m:r>
                          <a:rPr lang="es-ES" sz="1100" b="0" i="1">
                            <a:latin typeface="Cambria Math" panose="02040503050406030204" pitchFamily="18" charset="0"/>
                          </a:rPr>
                          <m:t>𝑐𝑜𝑛𝑣𝑒𝑟𝑡𝑖𝑏𝑙𝑒</m:t>
                        </m:r>
                        <m:r>
                          <a:rPr lang="es-ES" sz="1100" b="0" i="1">
                            <a:latin typeface="Cambria Math" panose="02040503050406030204" pitchFamily="18" charset="0"/>
                          </a:rPr>
                          <m:t> </m:t>
                        </m:r>
                        <m:r>
                          <a:rPr lang="es-ES" sz="1100" b="0" i="1">
                            <a:latin typeface="Cambria Math" panose="02040503050406030204" pitchFamily="18" charset="0"/>
                          </a:rPr>
                          <m:t>𝑑𝑒𝑏𝑡</m:t>
                        </m:r>
                      </m:num>
                      <m:den>
                        <m:r>
                          <a:rPr lang="es-ES" sz="1100" b="0" i="1">
                            <a:latin typeface="Cambria Math" panose="02040503050406030204" pitchFamily="18" charset="0"/>
                          </a:rPr>
                          <m:t>𝑊𝑒𝑖𝑔h𝑡𝑒𝑑</m:t>
                        </m:r>
                        <m:r>
                          <a:rPr lang="es-ES" sz="1100" b="0" i="1">
                            <a:latin typeface="Cambria Math" panose="02040503050406030204" pitchFamily="18" charset="0"/>
                          </a:rPr>
                          <m:t> </m:t>
                        </m:r>
                        <m:r>
                          <a:rPr lang="es-ES" sz="1100" b="0" i="1">
                            <a:latin typeface="Cambria Math" panose="02040503050406030204" pitchFamily="18" charset="0"/>
                          </a:rPr>
                          <m:t>𝑎𝑣𝑒𝑟𝑎𝑔𝑒</m:t>
                        </m:r>
                        <m:r>
                          <a:rPr lang="es-ES" sz="1100" b="0" i="1">
                            <a:latin typeface="Cambria Math" panose="02040503050406030204" pitchFamily="18" charset="0"/>
                          </a:rPr>
                          <m:t> </m:t>
                        </m:r>
                        <m:r>
                          <a:rPr lang="es-ES" sz="1100" b="0" i="1">
                            <a:latin typeface="Cambria Math" panose="02040503050406030204" pitchFamily="18" charset="0"/>
                          </a:rPr>
                          <m:t>𝑛𝑢𝑚𝑏𝑒𝑟</m:t>
                        </m:r>
                        <m:r>
                          <a:rPr lang="es-ES" sz="1100" b="0" i="1">
                            <a:latin typeface="Cambria Math" panose="02040503050406030204" pitchFamily="18" charset="0"/>
                          </a:rPr>
                          <m:t> </m:t>
                        </m:r>
                        <m:r>
                          <a:rPr lang="es-ES" sz="1100" b="0" i="1">
                            <a:latin typeface="Cambria Math" panose="02040503050406030204" pitchFamily="18" charset="0"/>
                          </a:rPr>
                          <m:t>𝑜𝑓</m:t>
                        </m:r>
                        <m:r>
                          <a:rPr lang="es-ES" sz="1100" b="0" i="1">
                            <a:latin typeface="Cambria Math" panose="02040503050406030204" pitchFamily="18" charset="0"/>
                          </a:rPr>
                          <m:t> </m:t>
                        </m:r>
                        <m:r>
                          <a:rPr lang="es-ES" sz="1100" b="0" i="1">
                            <a:latin typeface="Cambria Math" panose="02040503050406030204" pitchFamily="18" charset="0"/>
                          </a:rPr>
                          <m:t>𝑠h𝑎𝑟𝑒𝑠</m:t>
                        </m:r>
                        <m:r>
                          <a:rPr lang="es-ES" sz="1100" b="0" i="1">
                            <a:latin typeface="Cambria Math" panose="02040503050406030204" pitchFamily="18" charset="0"/>
                          </a:rPr>
                          <m:t> </m:t>
                        </m:r>
                        <m:r>
                          <a:rPr lang="es-ES" sz="1100" b="0" i="1">
                            <a:latin typeface="Cambria Math" panose="02040503050406030204" pitchFamily="18" charset="0"/>
                          </a:rPr>
                          <m:t>𝑜𝑢𝑡𝑠𝑡𝑎𝑛𝑑𝑖𝑛𝑔</m:t>
                        </m:r>
                        <m:r>
                          <a:rPr lang="es-ES" sz="1100" b="0" i="1">
                            <a:latin typeface="Cambria Math" panose="02040503050406030204" pitchFamily="18" charset="0"/>
                          </a:rPr>
                          <m:t>+</m:t>
                        </m:r>
                        <m:r>
                          <a:rPr lang="es-ES" sz="1100" b="0" i="1">
                            <a:latin typeface="Cambria Math" panose="02040503050406030204" pitchFamily="18" charset="0"/>
                          </a:rPr>
                          <m:t>𝑐𝑜𝑚𝑚𝑜𝑛</m:t>
                        </m:r>
                        <m:r>
                          <a:rPr lang="es-ES" sz="1100" b="0" i="1">
                            <a:latin typeface="Cambria Math" panose="02040503050406030204" pitchFamily="18" charset="0"/>
                          </a:rPr>
                          <m:t> </m:t>
                        </m:r>
                        <m:r>
                          <a:rPr lang="es-ES" sz="1100" b="0" i="1">
                            <a:latin typeface="Cambria Math" panose="02040503050406030204" pitchFamily="18" charset="0"/>
                          </a:rPr>
                          <m:t>𝑠h𝑎𝑟𝑒𝑠</m:t>
                        </m:r>
                        <m:r>
                          <a:rPr lang="es-ES" sz="1100" b="0" i="1">
                            <a:latin typeface="Cambria Math" panose="02040503050406030204" pitchFamily="18" charset="0"/>
                          </a:rPr>
                          <m:t> </m:t>
                        </m:r>
                        <m:r>
                          <a:rPr lang="es-ES" sz="1100" b="0" i="1">
                            <a:latin typeface="Cambria Math" panose="02040503050406030204" pitchFamily="18" charset="0"/>
                          </a:rPr>
                          <m:t>𝑡h𝑎𝑡</m:t>
                        </m:r>
                        <m:r>
                          <a:rPr lang="es-ES" sz="1100" b="0" i="1">
                            <a:latin typeface="Cambria Math" panose="02040503050406030204" pitchFamily="18" charset="0"/>
                          </a:rPr>
                          <m:t> </m:t>
                        </m:r>
                        <m:r>
                          <a:rPr lang="es-ES" sz="1100" b="0" i="1">
                            <a:latin typeface="Cambria Math" panose="02040503050406030204" pitchFamily="18" charset="0"/>
                          </a:rPr>
                          <m:t>𝑤𝑜𝑢𝑙𝑑</m:t>
                        </m:r>
                        <m:r>
                          <a:rPr lang="es-ES" sz="1100" b="0" i="1">
                            <a:latin typeface="Cambria Math" panose="02040503050406030204" pitchFamily="18" charset="0"/>
                          </a:rPr>
                          <m:t> </m:t>
                        </m:r>
                        <m:r>
                          <a:rPr lang="es-ES" sz="1100" b="0" i="1">
                            <a:latin typeface="Cambria Math" panose="02040503050406030204" pitchFamily="18" charset="0"/>
                          </a:rPr>
                          <m:t>h𝑎𝑣𝑒</m:t>
                        </m:r>
                        <m:r>
                          <a:rPr lang="es-ES" sz="1100" b="0" i="1">
                            <a:latin typeface="Cambria Math" panose="02040503050406030204" pitchFamily="18" charset="0"/>
                          </a:rPr>
                          <m:t> </m:t>
                        </m:r>
                        <m:r>
                          <a:rPr lang="es-ES" sz="1100" b="0" i="1">
                            <a:latin typeface="Cambria Math" panose="02040503050406030204" pitchFamily="18" charset="0"/>
                          </a:rPr>
                          <m:t>𝑏𝑒𝑒𝑛</m:t>
                        </m:r>
                        <m:r>
                          <a:rPr lang="es-ES" sz="1100" b="0" i="1">
                            <a:latin typeface="Cambria Math" panose="02040503050406030204" pitchFamily="18" charset="0"/>
                          </a:rPr>
                          <m:t> </m:t>
                        </m:r>
                        <m:r>
                          <a:rPr lang="es-ES" sz="1100" b="0" i="1">
                            <a:latin typeface="Cambria Math" panose="02040503050406030204" pitchFamily="18" charset="0"/>
                          </a:rPr>
                          <m:t>𝑖𝑠𝑠𝑢𝑒𝑑</m:t>
                        </m:r>
                        <m:r>
                          <a:rPr lang="es-ES" sz="1100" b="0" i="1">
                            <a:latin typeface="Cambria Math" panose="02040503050406030204" pitchFamily="18" charset="0"/>
                          </a:rPr>
                          <m:t> </m:t>
                        </m:r>
                        <m:r>
                          <a:rPr lang="es-ES" sz="1100" b="0" i="1">
                            <a:latin typeface="Cambria Math" panose="02040503050406030204" pitchFamily="18" charset="0"/>
                          </a:rPr>
                          <m:t>𝑎𝑡</m:t>
                        </m:r>
                        <m:r>
                          <a:rPr lang="es-ES" sz="1100" b="0" i="1">
                            <a:latin typeface="Cambria Math" panose="02040503050406030204" pitchFamily="18" charset="0"/>
                          </a:rPr>
                          <m:t> </m:t>
                        </m:r>
                        <m:r>
                          <a:rPr lang="es-ES" sz="1100" b="0" i="1">
                            <a:latin typeface="Cambria Math" panose="02040503050406030204" pitchFamily="18" charset="0"/>
                          </a:rPr>
                          <m:t>𝑐𝑜𝑛𝑣𝑒𝑟𝑠𝑖𝑜𝑛</m:t>
                        </m:r>
                      </m:den>
                    </m:f>
                  </m:oMath>
                </m:oMathPara>
              </a14:m>
              <a:endParaRPr lang="en-US" sz="1100"/>
            </a:p>
            <a:p>
              <a:endParaRPr lang="en-US" sz="1100"/>
            </a:p>
          </xdr:txBody>
        </xdr:sp>
      </mc:Choice>
      <mc:Fallback>
        <xdr:sp macro="" textlink="">
          <xdr:nvSpPr>
            <xdr:cNvPr id="4" name="TextBox 3">
              <a:extLst>
                <a:ext uri="{FF2B5EF4-FFF2-40B4-BE49-F238E27FC236}">
                  <a16:creationId xmlns:a16="http://schemas.microsoft.com/office/drawing/2014/main" id="{50893023-C17B-354E-B6A9-947DABD20C62}"/>
                </a:ext>
              </a:extLst>
            </xdr:cNvPr>
            <xdr:cNvSpPr txBox="1"/>
          </xdr:nvSpPr>
          <xdr:spPr>
            <a:xfrm>
              <a:off x="0" y="14948137"/>
              <a:ext cx="9899689" cy="104721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ES" sz="1100" b="0" i="0">
                  <a:latin typeface="Cambria Math" panose="02040503050406030204" pitchFamily="18" charset="0"/>
                </a:rPr>
                <a:t>𝐷𝐼𝐿𝑈𝑇𝐸𝐷 𝑐𝑜𝑛 𝑎𝑐𝑐𝑖𝑜𝑛𝑒𝑠 𝑝𝑟𝑒𝑓. 𝑐𝑜𝑛𝑣𝑒𝑟𝑡𝑖𝑏𝑙𝑒𝑠=(𝑁𝑒𝑡 𝐼𝑛𝑐𝑜𝑚𝑒 )/(𝑊𝑒𝑖𝑔ℎ𝑡𝑒𝑑 𝑎𝑣𝑒𝑟𝑎𝑔𝑒 𝑛𝑢𝑚𝑏𝑒𝑟 𝑜𝑓 𝑠ℎ𝑎𝑟𝑒𝑠 𝑜𝑢𝑡𝑠𝑡𝑎𝑛𝑑𝑖𝑛𝑔+𝑐𝑜𝑚𝑚𝑜𝑛 𝑠ℎ𝑎𝑟𝑒𝑠 𝑡ℎ𝑎𝑡 𝑤𝑜𝑢𝑙𝑑 ℎ𝑎𝑣𝑒 𝑏𝑒𝑒𝑛 𝑖𝑠𝑠𝑢𝑒𝑑 𝑎𝑡 𝑐𝑜𝑛𝑣𝑒𝑟𝑠𝑖𝑜𝑛)</a:t>
              </a:r>
              <a:endParaRPr lang="es-ES" sz="1100" b="0"/>
            </a:p>
            <a:p>
              <a:endParaRPr lang="es-ES" sz="1100" b="0"/>
            </a:p>
            <a:p>
              <a:pPr marL="0" marR="0" lvl="0" indent="0" defTabSz="914400" eaLnBrk="1" fontAlgn="auto" latinLnBrk="0" hangingPunct="1">
                <a:lnSpc>
                  <a:spcPct val="100000"/>
                </a:lnSpc>
                <a:spcBef>
                  <a:spcPts val="0"/>
                </a:spcBef>
                <a:spcAft>
                  <a:spcPts val="0"/>
                </a:spcAft>
                <a:buClrTx/>
                <a:buSzTx/>
                <a:buFontTx/>
                <a:buNone/>
                <a:tabLst/>
                <a:defRPr/>
              </a:pPr>
              <a:r>
                <a:rPr lang="es-ES" sz="1100" b="0" i="0">
                  <a:latin typeface="Cambria Math" panose="02040503050406030204" pitchFamily="18" charset="0"/>
                </a:rPr>
                <a:t>𝐷𝐼𝐿𝑈𝑇𝐸𝐷 𝑐𝑜𝑛 𝑑𝑒𝑢𝑑𝑎 𝑐𝑜𝑛𝑣𝑒𝑟𝑡𝑖𝑏𝑙𝑒=(𝑁𝑒𝑡 𝐼𝑛𝑐𝑜𝑚𝑒+𝐴𝑓𝑡𝑒𝑟 𝑡𝑎𝑥 𝑖𝑛𝑡𝑒𝑟𝑒𝑠𝑡 𝑜𝑛 𝑐𝑜𝑛𝑣𝑒𝑟𝑡𝑖𝑏𝑙𝑒 𝑑𝑒𝑏𝑡)/(𝑊𝑒𝑖𝑔ℎ𝑡𝑒𝑑 𝑎𝑣𝑒𝑟𝑎𝑔𝑒 𝑛𝑢𝑚𝑏𝑒𝑟 𝑜𝑓 𝑠ℎ𝑎𝑟𝑒𝑠 𝑜𝑢𝑡𝑠𝑡𝑎𝑛𝑑𝑖𝑛𝑔+𝑐𝑜𝑚𝑚𝑜𝑛 𝑠ℎ𝑎𝑟𝑒𝑠 𝑡ℎ𝑎𝑡 𝑤𝑜𝑢𝑙𝑑 ℎ𝑎𝑣𝑒 𝑏𝑒𝑒𝑛 𝑖𝑠𝑠𝑢𝑒𝑑 𝑎𝑡 𝑐𝑜𝑛𝑣𝑒𝑟𝑠𝑖𝑜𝑛)</a:t>
              </a:r>
              <a:endParaRPr lang="en-US" sz="1100"/>
            </a:p>
            <a:p>
              <a:endParaRPr lang="en-US" sz="1100"/>
            </a:p>
          </xdr:txBody>
        </xdr:sp>
      </mc:Fallback>
    </mc:AlternateContent>
    <xdr:clientData/>
  </xdr:oneCellAnchor>
  <xdr:oneCellAnchor>
    <xdr:from>
      <xdr:col>0</xdr:col>
      <xdr:colOff>0</xdr:colOff>
      <xdr:row>107</xdr:row>
      <xdr:rowOff>142302</xdr:rowOff>
    </xdr:from>
    <xdr:ext cx="8803230" cy="678519"/>
    <mc:AlternateContent xmlns:mc="http://schemas.openxmlformats.org/markup-compatibility/2006">
      <mc:Choice xmlns:a14="http://schemas.microsoft.com/office/drawing/2010/main" Requires="a14">
        <xdr:sp macro="" textlink="">
          <xdr:nvSpPr>
            <xdr:cNvPr id="5" name="TextBox 4">
              <a:extLst>
                <a:ext uri="{FF2B5EF4-FFF2-40B4-BE49-F238E27FC236}">
                  <a16:creationId xmlns:a16="http://schemas.microsoft.com/office/drawing/2014/main" id="{7D7850E0-7124-84D8-E4A4-E24DAA153C61}"/>
                </a:ext>
              </a:extLst>
            </xdr:cNvPr>
            <xdr:cNvSpPr txBox="1"/>
          </xdr:nvSpPr>
          <xdr:spPr>
            <a:xfrm>
              <a:off x="0" y="22797209"/>
              <a:ext cx="8803230" cy="6785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s-ES" sz="1100" b="0" i="1">
                        <a:latin typeface="Cambria Math" panose="02040503050406030204" pitchFamily="18" charset="0"/>
                      </a:rPr>
                      <m:t>𝐷𝐼𝐿𝑈𝑇𝐸𝐷</m:t>
                    </m:r>
                    <m:r>
                      <a:rPr lang="es-ES" sz="1100" b="0" i="1">
                        <a:latin typeface="Cambria Math" panose="02040503050406030204" pitchFamily="18" charset="0"/>
                      </a:rPr>
                      <m:t> =</m:t>
                    </m:r>
                    <m:f>
                      <m:fPr>
                        <m:ctrlPr>
                          <a:rPr lang="es-ES" sz="1100" b="0" i="1">
                            <a:latin typeface="Cambria Math" panose="02040503050406030204" pitchFamily="18" charset="0"/>
                          </a:rPr>
                        </m:ctrlPr>
                      </m:fPr>
                      <m:num>
                        <m:r>
                          <a:rPr lang="es-ES" sz="1100" b="0" i="1">
                            <a:latin typeface="Cambria Math" panose="02040503050406030204" pitchFamily="18" charset="0"/>
                          </a:rPr>
                          <m:t>𝑁𝑒𝑡</m:t>
                        </m:r>
                        <m:r>
                          <a:rPr lang="es-ES" sz="1100" b="0" i="1">
                            <a:latin typeface="Cambria Math" panose="02040503050406030204" pitchFamily="18" charset="0"/>
                          </a:rPr>
                          <m:t> </m:t>
                        </m:r>
                        <m:r>
                          <a:rPr lang="es-ES" sz="1100" b="0" i="1">
                            <a:latin typeface="Cambria Math" panose="02040503050406030204" pitchFamily="18" charset="0"/>
                          </a:rPr>
                          <m:t>𝐼𝑛𝑐𝑜𝑚𝑒</m:t>
                        </m:r>
                        <m:r>
                          <a:rPr lang="es-ES" sz="1100" b="0" i="1">
                            <a:latin typeface="Cambria Math" panose="02040503050406030204" pitchFamily="18" charset="0"/>
                          </a:rPr>
                          <m:t> </m:t>
                        </m:r>
                      </m:num>
                      <m:den>
                        <m:eqArr>
                          <m:eqArrPr>
                            <m:ctrlPr>
                              <a:rPr lang="es-ES" sz="1100" b="0" i="1">
                                <a:latin typeface="Cambria Math" panose="02040503050406030204" pitchFamily="18" charset="0"/>
                              </a:rPr>
                            </m:ctrlPr>
                          </m:eqArrPr>
                          <m:e>
                            <m:r>
                              <a:rPr lang="es-ES" sz="1100" b="0" i="1">
                                <a:latin typeface="Cambria Math" panose="02040503050406030204" pitchFamily="18" charset="0"/>
                              </a:rPr>
                              <m:t>𝑊𝑒𝑖𝑔h𝑡𝑒𝑑</m:t>
                            </m:r>
                            <m:r>
                              <a:rPr lang="es-ES" sz="1100" b="0" i="1">
                                <a:latin typeface="Cambria Math" panose="02040503050406030204" pitchFamily="18" charset="0"/>
                              </a:rPr>
                              <m:t> </m:t>
                            </m:r>
                            <m:r>
                              <a:rPr lang="es-ES" sz="1100" b="0" i="1">
                                <a:latin typeface="Cambria Math" panose="02040503050406030204" pitchFamily="18" charset="0"/>
                              </a:rPr>
                              <m:t>𝑎𝑣𝑒𝑟𝑎𝑔𝑒</m:t>
                            </m:r>
                            <m:r>
                              <a:rPr lang="es-ES" sz="1100" b="0" i="1">
                                <a:latin typeface="Cambria Math" panose="02040503050406030204" pitchFamily="18" charset="0"/>
                              </a:rPr>
                              <m:t> </m:t>
                            </m:r>
                            <m:r>
                              <a:rPr lang="es-ES" sz="1100" b="0" i="1">
                                <a:latin typeface="Cambria Math" panose="02040503050406030204" pitchFamily="18" charset="0"/>
                              </a:rPr>
                              <m:t>𝑛𝑢𝑚𝑏𝑒𝑟</m:t>
                            </m:r>
                            <m:r>
                              <a:rPr lang="es-ES" sz="1100" b="0" i="1">
                                <a:latin typeface="Cambria Math" panose="02040503050406030204" pitchFamily="18" charset="0"/>
                              </a:rPr>
                              <m:t> </m:t>
                            </m:r>
                            <m:r>
                              <a:rPr lang="es-ES" sz="1100" b="0" i="1">
                                <a:latin typeface="Cambria Math" panose="02040503050406030204" pitchFamily="18" charset="0"/>
                              </a:rPr>
                              <m:t>𝑜𝑓</m:t>
                            </m:r>
                            <m:r>
                              <a:rPr lang="es-ES" sz="1100" b="0" i="1">
                                <a:latin typeface="Cambria Math" panose="02040503050406030204" pitchFamily="18" charset="0"/>
                              </a:rPr>
                              <m:t> </m:t>
                            </m:r>
                            <m:r>
                              <a:rPr lang="es-ES" sz="1100" b="0" i="1">
                                <a:latin typeface="Cambria Math" panose="02040503050406030204" pitchFamily="18" charset="0"/>
                              </a:rPr>
                              <m:t>𝑠h𝑎𝑟𝑒𝑠</m:t>
                            </m:r>
                            <m:r>
                              <a:rPr lang="es-ES" sz="1100" b="0" i="1">
                                <a:latin typeface="Cambria Math" panose="02040503050406030204" pitchFamily="18" charset="0"/>
                              </a:rPr>
                              <m:t> </m:t>
                            </m:r>
                            <m:r>
                              <a:rPr lang="es-ES" sz="1100" b="0" i="1">
                                <a:latin typeface="Cambria Math" panose="02040503050406030204" pitchFamily="18" charset="0"/>
                              </a:rPr>
                              <m:t>𝑜𝑢𝑡𝑠𝑡𝑎𝑛𝑑𝑖𝑛𝑔</m:t>
                            </m:r>
                            <m:r>
                              <a:rPr lang="es-ES" sz="1100" b="0" i="1">
                                <a:latin typeface="Cambria Math" panose="02040503050406030204" pitchFamily="18" charset="0"/>
                              </a:rPr>
                              <m:t>+</m:t>
                            </m:r>
                            <m:r>
                              <a:rPr lang="es-ES" sz="1100" b="0" i="1">
                                <a:latin typeface="Cambria Math" panose="02040503050406030204" pitchFamily="18" charset="0"/>
                              </a:rPr>
                              <m:t>𝑛𝑒𝑤</m:t>
                            </m:r>
                            <m:r>
                              <a:rPr lang="es-ES" sz="1100" b="0" i="1">
                                <a:latin typeface="Cambria Math" panose="02040503050406030204" pitchFamily="18" charset="0"/>
                              </a:rPr>
                              <m:t> </m:t>
                            </m:r>
                            <m:r>
                              <a:rPr lang="es-ES" sz="1100" b="0" i="1">
                                <a:latin typeface="Cambria Math" panose="02040503050406030204" pitchFamily="18" charset="0"/>
                              </a:rPr>
                              <m:t>𝑐𝑜𝑚𝑚𝑜𝑛</m:t>
                            </m:r>
                            <m:r>
                              <a:rPr lang="es-ES" sz="1100" b="0" i="1">
                                <a:latin typeface="Cambria Math" panose="02040503050406030204" pitchFamily="18" charset="0"/>
                              </a:rPr>
                              <m:t> </m:t>
                            </m:r>
                            <m:r>
                              <a:rPr lang="es-ES" sz="1100" b="0" i="1">
                                <a:latin typeface="Cambria Math" panose="02040503050406030204" pitchFamily="18" charset="0"/>
                              </a:rPr>
                              <m:t>𝑠h𝑎𝑟𝑒𝑠</m:t>
                            </m:r>
                            <m:r>
                              <a:rPr lang="es-ES" sz="1100" b="0" i="1">
                                <a:latin typeface="Cambria Math" panose="02040503050406030204" pitchFamily="18" charset="0"/>
                              </a:rPr>
                              <m:t> </m:t>
                            </m:r>
                            <m:r>
                              <a:rPr lang="es-ES" sz="1100" b="0" i="1">
                                <a:latin typeface="Cambria Math" panose="02040503050406030204" pitchFamily="18" charset="0"/>
                              </a:rPr>
                              <m:t>𝑡h𝑎𝑡</m:t>
                            </m:r>
                            <m:r>
                              <a:rPr lang="es-ES" sz="1100" b="0" i="1">
                                <a:latin typeface="Cambria Math" panose="02040503050406030204" pitchFamily="18" charset="0"/>
                              </a:rPr>
                              <m:t> </m:t>
                            </m:r>
                            <m:r>
                              <a:rPr lang="es-ES" sz="1100" b="0" i="1">
                                <a:latin typeface="Cambria Math" panose="02040503050406030204" pitchFamily="18" charset="0"/>
                              </a:rPr>
                              <m:t>𝑐𝑜𝑢𝑙𝑑</m:t>
                            </m:r>
                            <m:r>
                              <a:rPr lang="es-ES" sz="1100" b="0" i="1">
                                <a:latin typeface="Cambria Math" panose="02040503050406030204" pitchFamily="18" charset="0"/>
                              </a:rPr>
                              <m:t> </m:t>
                            </m:r>
                            <m:r>
                              <a:rPr lang="es-ES" sz="1100" b="0" i="1">
                                <a:latin typeface="Cambria Math" panose="02040503050406030204" pitchFamily="18" charset="0"/>
                              </a:rPr>
                              <m:t>h𝑎𝑣𝑒</m:t>
                            </m:r>
                            <m:r>
                              <a:rPr lang="es-ES" sz="1100" b="0" i="1">
                                <a:latin typeface="Cambria Math" panose="02040503050406030204" pitchFamily="18" charset="0"/>
                              </a:rPr>
                              <m:t> </m:t>
                            </m:r>
                            <m:r>
                              <a:rPr lang="es-ES" sz="1100" b="0" i="1">
                                <a:latin typeface="Cambria Math" panose="02040503050406030204" pitchFamily="18" charset="0"/>
                              </a:rPr>
                              <m:t>𝑏𝑒𝑒𝑛</m:t>
                            </m:r>
                            <m:r>
                              <a:rPr lang="es-ES" sz="1100" b="0" i="1">
                                <a:latin typeface="Cambria Math" panose="02040503050406030204" pitchFamily="18" charset="0"/>
                              </a:rPr>
                              <m:t> </m:t>
                            </m:r>
                            <m:r>
                              <a:rPr lang="es-ES" sz="1100" b="0" i="1">
                                <a:latin typeface="Cambria Math" panose="02040503050406030204" pitchFamily="18" charset="0"/>
                              </a:rPr>
                              <m:t>𝑖𝑠𝑠𝑢𝑒𝑑</m:t>
                            </m:r>
                            <m:r>
                              <a:rPr lang="es-ES" sz="1100" b="0" i="1">
                                <a:latin typeface="Cambria Math" panose="02040503050406030204" pitchFamily="18" charset="0"/>
                              </a:rPr>
                              <m:t> </m:t>
                            </m:r>
                            <m:r>
                              <a:rPr lang="es-ES" sz="1100" b="0" i="1">
                                <a:latin typeface="Cambria Math" panose="02040503050406030204" pitchFamily="18" charset="0"/>
                              </a:rPr>
                              <m:t>𝑎𝑡</m:t>
                            </m:r>
                            <m:r>
                              <a:rPr lang="es-ES" sz="1100" b="0" i="1">
                                <a:latin typeface="Cambria Math" panose="02040503050406030204" pitchFamily="18" charset="0"/>
                              </a:rPr>
                              <m:t> </m:t>
                            </m:r>
                            <m:r>
                              <a:rPr lang="es-ES" sz="1100" b="0" i="1">
                                <a:latin typeface="Cambria Math" panose="02040503050406030204" pitchFamily="18" charset="0"/>
                              </a:rPr>
                              <m:t>𝑜𝑝𝑡𝑖𝑜𝑛</m:t>
                            </m:r>
                            <m:r>
                              <a:rPr lang="es-ES" sz="1100" b="0" i="1">
                                <a:latin typeface="Cambria Math" panose="02040503050406030204" pitchFamily="18" charset="0"/>
                              </a:rPr>
                              <m:t> </m:t>
                            </m:r>
                            <m:r>
                              <a:rPr lang="es-ES" sz="1100" b="0" i="1">
                                <a:latin typeface="Cambria Math" panose="02040503050406030204" pitchFamily="18" charset="0"/>
                              </a:rPr>
                              <m:t>𝑒𝑥𝑐𝑒𝑟𝑠𝑖𝑠𝑒</m:t>
                            </m:r>
                          </m:e>
                          <m:e>
                            <m:r>
                              <a:rPr lang="es-ES" sz="1100" b="0" i="1">
                                <a:latin typeface="Cambria Math" panose="02040503050406030204" pitchFamily="18" charset="0"/>
                              </a:rPr>
                              <m:t>− </m:t>
                            </m:r>
                            <m:r>
                              <a:rPr lang="es-ES" sz="1100" b="0" i="1">
                                <a:latin typeface="Cambria Math" panose="02040503050406030204" pitchFamily="18" charset="0"/>
                              </a:rPr>
                              <m:t>𝑆h𝑎𝑟𝑒𝑠</m:t>
                            </m:r>
                            <m:r>
                              <a:rPr lang="es-ES" sz="1100" b="0" i="1">
                                <a:latin typeface="Cambria Math" panose="02040503050406030204" pitchFamily="18" charset="0"/>
                              </a:rPr>
                              <m:t> </m:t>
                            </m:r>
                            <m:r>
                              <a:rPr lang="es-ES" sz="1100" b="0" i="1">
                                <a:latin typeface="Cambria Math" panose="02040503050406030204" pitchFamily="18" charset="0"/>
                              </a:rPr>
                              <m:t>𝑡h𝑎𝑡</m:t>
                            </m:r>
                            <m:r>
                              <a:rPr lang="es-ES" sz="1100" b="0" i="1">
                                <a:latin typeface="Cambria Math" panose="02040503050406030204" pitchFamily="18" charset="0"/>
                              </a:rPr>
                              <m:t> </m:t>
                            </m:r>
                            <m:r>
                              <a:rPr lang="es-ES" sz="1100" b="0" i="1">
                                <a:latin typeface="Cambria Math" panose="02040503050406030204" pitchFamily="18" charset="0"/>
                              </a:rPr>
                              <m:t>𝑤𝑜𝑢𝑙𝑑</m:t>
                            </m:r>
                            <m:r>
                              <a:rPr lang="es-ES" sz="1100" b="0" i="1">
                                <a:latin typeface="Cambria Math" panose="02040503050406030204" pitchFamily="18" charset="0"/>
                              </a:rPr>
                              <m:t> </m:t>
                            </m:r>
                            <m:r>
                              <a:rPr lang="es-ES" sz="1100" b="0" i="1">
                                <a:latin typeface="Cambria Math" panose="02040503050406030204" pitchFamily="18" charset="0"/>
                              </a:rPr>
                              <m:t>h𝑎𝑣𝑒</m:t>
                            </m:r>
                            <m:r>
                              <a:rPr lang="es-ES" sz="1100" b="0" i="1">
                                <a:latin typeface="Cambria Math" panose="02040503050406030204" pitchFamily="18" charset="0"/>
                              </a:rPr>
                              <m:t> </m:t>
                            </m:r>
                            <m:r>
                              <a:rPr lang="es-ES" sz="1100" b="0" i="1">
                                <a:latin typeface="Cambria Math" panose="02040503050406030204" pitchFamily="18" charset="0"/>
                              </a:rPr>
                              <m:t>𝑏𝑒𝑒𝑛</m:t>
                            </m:r>
                            <m:r>
                              <a:rPr lang="es-ES" sz="1100" b="0" i="1">
                                <a:latin typeface="Cambria Math" panose="02040503050406030204" pitchFamily="18" charset="0"/>
                              </a:rPr>
                              <m:t> </m:t>
                            </m:r>
                            <m:r>
                              <a:rPr lang="es-ES" sz="1100" b="0" i="1">
                                <a:latin typeface="Cambria Math" panose="02040503050406030204" pitchFamily="18" charset="0"/>
                              </a:rPr>
                              <m:t>𝑝𝑢𝑟𝑐h𝑎𝑠𝑒𝑑</m:t>
                            </m:r>
                            <m:r>
                              <a:rPr lang="es-ES" sz="1100" b="0" i="1">
                                <a:latin typeface="Cambria Math" panose="02040503050406030204" pitchFamily="18" charset="0"/>
                              </a:rPr>
                              <m:t> </m:t>
                            </m:r>
                            <m:r>
                              <a:rPr lang="es-ES" sz="1100" b="0" i="1">
                                <a:latin typeface="Cambria Math" panose="02040503050406030204" pitchFamily="18" charset="0"/>
                              </a:rPr>
                              <m:t>𝑤𝑖𝑡h</m:t>
                            </m:r>
                            <m:r>
                              <a:rPr lang="es-ES" sz="1100" b="0" i="1">
                                <a:latin typeface="Cambria Math" panose="02040503050406030204" pitchFamily="18" charset="0"/>
                              </a:rPr>
                              <m:t> </m:t>
                            </m:r>
                            <m:r>
                              <a:rPr lang="es-ES" sz="1100" b="0" i="1">
                                <a:latin typeface="Cambria Math" panose="02040503050406030204" pitchFamily="18" charset="0"/>
                              </a:rPr>
                              <m:t>𝑐h𝑎𝑠h</m:t>
                            </m:r>
                            <m:r>
                              <a:rPr lang="es-ES" sz="1100" b="0" i="1">
                                <a:latin typeface="Cambria Math" panose="02040503050406030204" pitchFamily="18" charset="0"/>
                              </a:rPr>
                              <m:t> </m:t>
                            </m:r>
                            <m:r>
                              <a:rPr lang="es-ES" sz="1100" b="0" i="1">
                                <a:latin typeface="Cambria Math" panose="02040503050406030204" pitchFamily="18" charset="0"/>
                              </a:rPr>
                              <m:t>𝑟𝑒𝑐𝑒𝑖𝑣𝑒𝑑</m:t>
                            </m:r>
                            <m:r>
                              <a:rPr lang="es-ES" sz="1100" b="0" i="1">
                                <a:latin typeface="Cambria Math" panose="02040503050406030204" pitchFamily="18" charset="0"/>
                              </a:rPr>
                              <m:t> </m:t>
                            </m:r>
                            <m:r>
                              <a:rPr lang="es-ES" sz="1100" b="0" i="1">
                                <a:latin typeface="Cambria Math" panose="02040503050406030204" pitchFamily="18" charset="0"/>
                              </a:rPr>
                              <m:t>𝑢𝑝𝑜𝑛</m:t>
                            </m:r>
                            <m:r>
                              <a:rPr lang="es-ES" sz="1100" b="0" i="1">
                                <a:latin typeface="Cambria Math" panose="02040503050406030204" pitchFamily="18" charset="0"/>
                              </a:rPr>
                              <m:t> </m:t>
                            </m:r>
                            <m:r>
                              <a:rPr lang="es-ES" sz="1100" b="0" i="1">
                                <a:latin typeface="Cambria Math" panose="02040503050406030204" pitchFamily="18" charset="0"/>
                              </a:rPr>
                              <m:t>𝑒𝑥𝑐𝑒𝑟𝑠𝑖𝑠𝑒</m:t>
                            </m:r>
                          </m:e>
                        </m:eqArr>
                      </m:den>
                    </m:f>
                  </m:oMath>
                </m:oMathPara>
              </a14:m>
              <a:endParaRPr lang="es-ES" sz="1100" b="0"/>
            </a:p>
            <a:p>
              <a:endParaRPr lang="en-US" sz="1100"/>
            </a:p>
          </xdr:txBody>
        </xdr:sp>
      </mc:Choice>
      <mc:Fallback>
        <xdr:sp macro="" textlink="">
          <xdr:nvSpPr>
            <xdr:cNvPr id="5" name="TextBox 4">
              <a:extLst>
                <a:ext uri="{FF2B5EF4-FFF2-40B4-BE49-F238E27FC236}">
                  <a16:creationId xmlns:a16="http://schemas.microsoft.com/office/drawing/2014/main" id="{7D7850E0-7124-84D8-E4A4-E24DAA153C61}"/>
                </a:ext>
              </a:extLst>
            </xdr:cNvPr>
            <xdr:cNvSpPr txBox="1"/>
          </xdr:nvSpPr>
          <xdr:spPr>
            <a:xfrm>
              <a:off x="0" y="22797209"/>
              <a:ext cx="8803230" cy="6785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pPr marL="0" marR="0" lvl="0" indent="0" defTabSz="914400" eaLnBrk="1" fontAlgn="auto" latinLnBrk="0" hangingPunct="1">
                <a:lnSpc>
                  <a:spcPct val="100000"/>
                </a:lnSpc>
                <a:spcBef>
                  <a:spcPts val="0"/>
                </a:spcBef>
                <a:spcAft>
                  <a:spcPts val="0"/>
                </a:spcAft>
                <a:buClrTx/>
                <a:buSzTx/>
                <a:buFontTx/>
                <a:buNone/>
                <a:tabLst/>
                <a:defRPr/>
              </a:pPr>
              <a:r>
                <a:rPr lang="es-ES" sz="1100" b="0" i="0">
                  <a:latin typeface="Cambria Math" panose="02040503050406030204" pitchFamily="18" charset="0"/>
                </a:rPr>
                <a:t>𝐷𝐼𝐿𝑈𝑇𝐸𝐷 =(𝑁𝑒𝑡 𝐼𝑛𝑐𝑜𝑚𝑒 )/█(𝑊𝑒𝑖𝑔ℎ𝑡𝑒𝑑 𝑎𝑣𝑒𝑟𝑎𝑔𝑒 𝑛𝑢𝑚𝑏𝑒𝑟 𝑜𝑓 𝑠ℎ𝑎𝑟𝑒𝑠 𝑜𝑢𝑡𝑠𝑡𝑎𝑛𝑑𝑖𝑛𝑔+𝑛𝑒𝑤 𝑐𝑜𝑚𝑚𝑜𝑛 𝑠ℎ𝑎𝑟𝑒𝑠 𝑡ℎ𝑎𝑡 𝑐𝑜𝑢𝑙𝑑 ℎ𝑎𝑣𝑒 𝑏𝑒𝑒𝑛 𝑖𝑠𝑠𝑢𝑒𝑑 𝑎𝑡 𝑜𝑝𝑡𝑖𝑜𝑛 𝑒𝑥𝑐𝑒𝑟𝑠𝑖𝑠𝑒@− 𝑆ℎ𝑎𝑟𝑒𝑠 𝑡ℎ𝑎𝑡 𝑤𝑜𝑢𝑙𝑑 ℎ𝑎𝑣𝑒 𝑏𝑒𝑒𝑛 𝑝𝑢𝑟𝑐ℎ𝑎𝑠𝑒𝑑 𝑤𝑖𝑡ℎ 𝑐ℎ𝑎𝑠ℎ 𝑟𝑒𝑐𝑒𝑖𝑣𝑒𝑑 𝑢𝑝𝑜𝑛 𝑒𝑥𝑐𝑒𝑟𝑠𝑖𝑠𝑒)</a:t>
              </a:r>
              <a:endParaRPr lang="es-ES" sz="1100" b="0"/>
            </a:p>
            <a:p>
              <a:endParaRPr lang="en-US" sz="1100"/>
            </a:p>
          </xdr:txBody>
        </xdr:sp>
      </mc:Fallback>
    </mc:AlternateContent>
    <xdr:clientData/>
  </xdr:oneCellAnchor>
</xdr:wsDr>
</file>

<file path=xl/drawings/drawing13.xml><?xml version="1.0" encoding="utf-8"?>
<xdr:wsDr xmlns:xdr="http://schemas.openxmlformats.org/drawingml/2006/spreadsheetDrawing" xmlns:a="http://schemas.openxmlformats.org/drawingml/2006/main">
  <xdr:oneCellAnchor>
    <xdr:from>
      <xdr:col>0</xdr:col>
      <xdr:colOff>0</xdr:colOff>
      <xdr:row>4</xdr:row>
      <xdr:rowOff>78014</xdr:rowOff>
    </xdr:from>
    <xdr:ext cx="747577" cy="347659"/>
    <mc:AlternateContent xmlns:mc="http://schemas.openxmlformats.org/markup-compatibility/2006">
      <mc:Choice xmlns:a14="http://schemas.microsoft.com/office/drawing/2010/main" Requires="a14">
        <xdr:sp macro="" textlink="">
          <xdr:nvSpPr>
            <xdr:cNvPr id="2" name="TextBox 1">
              <a:extLst>
                <a:ext uri="{FF2B5EF4-FFF2-40B4-BE49-F238E27FC236}">
                  <a16:creationId xmlns:a16="http://schemas.microsoft.com/office/drawing/2014/main" id="{0091898C-4A66-259A-9130-029E06B45CA8}"/>
                </a:ext>
              </a:extLst>
            </xdr:cNvPr>
            <xdr:cNvSpPr txBox="1"/>
          </xdr:nvSpPr>
          <xdr:spPr>
            <a:xfrm>
              <a:off x="0" y="900490"/>
              <a:ext cx="747577"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Para xmlns:m="http://schemas.openxmlformats.org/officeDocument/2006/math">
                  <m:oMathParaPr>
                    <m:jc m:val="centerGroup"/>
                  </m:oMathParaPr>
                  <m:oMath xmlns:m="http://schemas.openxmlformats.org/officeDocument/2006/math">
                    <m:sSub>
                      <m:sSubPr>
                        <m:ctrlPr>
                          <a:rPr lang="es-ES" sz="1100" b="0" i="1">
                            <a:latin typeface="Cambria Math" panose="02040503050406030204" pitchFamily="18" charset="0"/>
                          </a:rPr>
                        </m:ctrlPr>
                      </m:sSubPr>
                      <m:e>
                        <m:r>
                          <a:rPr lang="es-ES" sz="1100" b="0" i="1">
                            <a:latin typeface="Cambria Math" panose="02040503050406030204" pitchFamily="18" charset="0"/>
                          </a:rPr>
                          <m:t>𝑃</m:t>
                        </m:r>
                      </m:e>
                      <m:sub>
                        <m:r>
                          <a:rPr lang="es-ES" sz="1100" b="0" i="1">
                            <a:latin typeface="Cambria Math" panose="02040503050406030204" pitchFamily="18" charset="0"/>
                          </a:rPr>
                          <m:t>0</m:t>
                        </m:r>
                      </m:sub>
                    </m:sSub>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num>
                      <m:den>
                        <m:r>
                          <a:rPr lang="es-ES" sz="1100" b="0" i="1">
                            <a:latin typeface="Cambria Math" panose="02040503050406030204" pitchFamily="18" charset="0"/>
                          </a:rPr>
                          <m:t>𝑟</m:t>
                        </m:r>
                        <m:r>
                          <a:rPr lang="es-ES" sz="1100" b="0" i="1">
                            <a:latin typeface="Cambria Math" panose="02040503050406030204" pitchFamily="18" charset="0"/>
                          </a:rPr>
                          <m:t>−</m:t>
                        </m:r>
                        <m:sSub>
                          <m:sSubPr>
                            <m:ctrlPr>
                              <a:rPr lang="es-ES" sz="1100" b="0" i="1">
                                <a:latin typeface="Cambria Math" panose="02040503050406030204" pitchFamily="18" charset="0"/>
                              </a:rPr>
                            </m:ctrlPr>
                          </m:sSubPr>
                          <m:e>
                            <m:r>
                              <a:rPr lang="es-ES" sz="1100" b="0" i="1">
                                <a:latin typeface="Cambria Math" panose="02040503050406030204" pitchFamily="18" charset="0"/>
                              </a:rPr>
                              <m:t>𝑔</m:t>
                            </m:r>
                          </m:e>
                          <m:sub>
                            <m:r>
                              <a:rPr lang="es-ES" sz="1100" b="0" i="1">
                                <a:latin typeface="Cambria Math" panose="02040503050406030204" pitchFamily="18" charset="0"/>
                              </a:rPr>
                              <m:t>𝑛</m:t>
                            </m:r>
                          </m:sub>
                        </m:sSub>
                      </m:den>
                    </m:f>
                  </m:oMath>
                </m:oMathPara>
              </a14:m>
              <a:endParaRPr lang="en-US" sz="1100"/>
            </a:p>
          </xdr:txBody>
        </xdr:sp>
      </mc:Choice>
      <mc:Fallback>
        <xdr:sp macro="" textlink="">
          <xdr:nvSpPr>
            <xdr:cNvPr id="2" name="TextBox 1">
              <a:extLst>
                <a:ext uri="{FF2B5EF4-FFF2-40B4-BE49-F238E27FC236}">
                  <a16:creationId xmlns:a16="http://schemas.microsoft.com/office/drawing/2014/main" id="{0091898C-4A66-259A-9130-029E06B45CA8}"/>
                </a:ext>
              </a:extLst>
            </xdr:cNvPr>
            <xdr:cNvSpPr txBox="1"/>
          </xdr:nvSpPr>
          <xdr:spPr>
            <a:xfrm>
              <a:off x="0" y="900490"/>
              <a:ext cx="747577"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ES" sz="1100" b="0" i="0">
                  <a:latin typeface="Cambria Math" panose="02040503050406030204" pitchFamily="18" charset="0"/>
                </a:rPr>
                <a:t>𝑃_0=(𝐷𝑃𝑆_1)/(𝑟−𝑔_𝑛 )</a:t>
              </a:r>
              <a:endParaRPr lang="en-US" sz="1100"/>
            </a:p>
          </xdr:txBody>
        </xdr:sp>
      </mc:Fallback>
    </mc:AlternateContent>
    <xdr:clientData/>
  </xdr:oneCellAnchor>
  <xdr:oneCellAnchor>
    <xdr:from>
      <xdr:col>1</xdr:col>
      <xdr:colOff>465667</xdr:colOff>
      <xdr:row>4</xdr:row>
      <xdr:rowOff>30238</xdr:rowOff>
    </xdr:from>
    <xdr:ext cx="2890762" cy="1566326"/>
    <mc:AlternateContent xmlns:mc="http://schemas.openxmlformats.org/markup-compatibility/2006">
      <mc:Choice xmlns:a14="http://schemas.microsoft.com/office/drawing/2010/main" Requires="a14">
        <xdr:sp macro="" textlink="">
          <xdr:nvSpPr>
            <xdr:cNvPr id="3" name="TextBox 2">
              <a:extLst>
                <a:ext uri="{FF2B5EF4-FFF2-40B4-BE49-F238E27FC236}">
                  <a16:creationId xmlns:a16="http://schemas.microsoft.com/office/drawing/2014/main" id="{E3363DE6-5390-2042-A6EB-420E21AC10B8}"/>
                </a:ext>
              </a:extLst>
            </xdr:cNvPr>
            <xdr:cNvSpPr txBox="1"/>
          </xdr:nvSpPr>
          <xdr:spPr>
            <a:xfrm>
              <a:off x="1294191" y="852714"/>
              <a:ext cx="2890762" cy="1566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Para xmlns:m="http://schemas.openxmlformats.org/officeDocument/2006/math">
                  <m:oMathParaPr>
                    <m:jc m:val="centerGroup"/>
                  </m:oMathParaPr>
                  <m:oMath xmlns:m="http://schemas.openxmlformats.org/officeDocument/2006/math">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r>
                      <a:rPr lang="es-ES" sz="1100" b="0" i="0">
                        <a:latin typeface="Cambria Math" panose="02040503050406030204" pitchFamily="18" charset="0"/>
                      </a:rPr>
                      <m:t>=</m:t>
                    </m:r>
                    <m:sSub>
                      <m:sSubPr>
                        <m:ctrlPr>
                          <a:rPr lang="es-ES" sz="1100" b="0" i="0">
                            <a:latin typeface="Cambria Math" panose="02040503050406030204" pitchFamily="18" charset="0"/>
                          </a:rPr>
                        </m:ctrlPr>
                      </m:sSubPr>
                      <m:e>
                        <m:r>
                          <m:rPr>
                            <m:sty m:val="p"/>
                          </m:rPr>
                          <a:rPr lang="es-ES" sz="1100" b="0" i="0">
                            <a:latin typeface="Cambria Math" panose="02040503050406030204" pitchFamily="18" charset="0"/>
                          </a:rPr>
                          <m:t>EPS</m:t>
                        </m:r>
                      </m:e>
                      <m:sub>
                        <m:r>
                          <a:rPr lang="es-ES" sz="1100" b="0" i="0">
                            <a:latin typeface="Cambria Math" panose="02040503050406030204" pitchFamily="18" charset="0"/>
                          </a:rPr>
                          <m:t>0</m:t>
                        </m:r>
                      </m:sub>
                    </m:sSub>
                    <m:r>
                      <a:rPr lang="es-ES" sz="1100" b="0" i="0">
                        <a:latin typeface="Cambria Math" panose="02040503050406030204" pitchFamily="18" charset="0"/>
                      </a:rPr>
                      <m:t>∗</m:t>
                    </m:r>
                    <m:r>
                      <m:rPr>
                        <m:sty m:val="p"/>
                      </m:rPr>
                      <a:rPr lang="es-ES" sz="1100" b="0" i="0">
                        <a:latin typeface="Cambria Math" panose="02040503050406030204" pitchFamily="18" charset="0"/>
                      </a:rPr>
                      <m:t>payout</m:t>
                    </m:r>
                    <m:r>
                      <a:rPr lang="es-ES" sz="1100" b="0" i="0">
                        <a:latin typeface="Cambria Math" panose="02040503050406030204" pitchFamily="18" charset="0"/>
                      </a:rPr>
                      <m:t>∗</m:t>
                    </m:r>
                    <m:d>
                      <m:dPr>
                        <m:ctrlPr>
                          <a:rPr lang="es-ES" sz="1100" b="0" i="0">
                            <a:latin typeface="Cambria Math" panose="02040503050406030204" pitchFamily="18" charset="0"/>
                          </a:rPr>
                        </m:ctrlPr>
                      </m:dPr>
                      <m:e>
                        <m:r>
                          <a:rPr lang="es-ES" sz="1100" b="0" i="0">
                            <a:latin typeface="Cambria Math" panose="02040503050406030204" pitchFamily="18" charset="0"/>
                          </a:rPr>
                          <m:t>1+</m:t>
                        </m:r>
                        <m:sSub>
                          <m:sSubPr>
                            <m:ctrlPr>
                              <a:rPr lang="es-ES" sz="1100" b="0" i="0">
                                <a:latin typeface="Cambria Math" panose="02040503050406030204" pitchFamily="18" charset="0"/>
                              </a:rPr>
                            </m:ctrlPr>
                          </m:sSubPr>
                          <m:e>
                            <m:r>
                              <m:rPr>
                                <m:sty m:val="p"/>
                              </m:rPr>
                              <a:rPr lang="es-ES" sz="1100" b="0" i="0">
                                <a:latin typeface="Cambria Math" panose="02040503050406030204" pitchFamily="18" charset="0"/>
                              </a:rPr>
                              <m:t>g</m:t>
                            </m:r>
                          </m:e>
                          <m:sub>
                            <m:r>
                              <m:rPr>
                                <m:sty m:val="p"/>
                              </m:rPr>
                              <a:rPr lang="es-ES" sz="1100" b="0" i="0">
                                <a:latin typeface="Cambria Math" panose="02040503050406030204" pitchFamily="18" charset="0"/>
                              </a:rPr>
                              <m:t>n</m:t>
                            </m:r>
                          </m:sub>
                        </m:sSub>
                      </m:e>
                    </m:d>
                  </m:oMath>
                </m:oMathPara>
              </a14:m>
              <a:endParaRPr lang="en-US" sz="1100"/>
            </a:p>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r>
                      <a:rPr lang="es-ES" sz="1100" b="0" i="0">
                        <a:latin typeface="Cambria Math" panose="02040503050406030204" pitchFamily="18" charset="0"/>
                      </a:rPr>
                      <m:t>=</m:t>
                    </m:r>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0</m:t>
                        </m:r>
                      </m:sub>
                    </m:sSub>
                    <m:r>
                      <a:rPr lang="es-ES" sz="1100" b="0" i="0">
                        <a:latin typeface="Cambria Math" panose="02040503050406030204" pitchFamily="18" charset="0"/>
                      </a:rPr>
                      <m:t>∗</m:t>
                    </m:r>
                    <m:d>
                      <m:dPr>
                        <m:ctrlPr>
                          <a:rPr lang="es-ES" sz="1100" b="0" i="1">
                            <a:latin typeface="Cambria Math" panose="02040503050406030204" pitchFamily="18" charset="0"/>
                          </a:rPr>
                        </m:ctrlPr>
                      </m:dPr>
                      <m:e>
                        <m:r>
                          <a:rPr lang="es-ES" sz="1100" b="0" i="0">
                            <a:latin typeface="Cambria Math" panose="02040503050406030204" pitchFamily="18" charset="0"/>
                          </a:rPr>
                          <m:t>1+</m:t>
                        </m:r>
                        <m:sSub>
                          <m:sSubPr>
                            <m:ctrlPr>
                              <a:rPr lang="es-ES" sz="1100" b="0" i="1">
                                <a:latin typeface="Cambria Math" panose="02040503050406030204" pitchFamily="18" charset="0"/>
                              </a:rPr>
                            </m:ctrlPr>
                          </m:sSubPr>
                          <m:e>
                            <m:r>
                              <m:rPr>
                                <m:sty m:val="p"/>
                              </m:rPr>
                              <a:rPr lang="es-ES" sz="1100" b="0" i="0">
                                <a:latin typeface="Cambria Math" panose="02040503050406030204" pitchFamily="18" charset="0"/>
                              </a:rPr>
                              <m:t>g</m:t>
                            </m:r>
                          </m:e>
                          <m:sub>
                            <m:r>
                              <m:rPr>
                                <m:sty m:val="p"/>
                              </m:rPr>
                              <a:rPr lang="es-ES" sz="1100" b="0" i="0">
                                <a:latin typeface="Cambria Math" panose="02040503050406030204" pitchFamily="18" charset="0"/>
                              </a:rPr>
                              <m:t>n</m:t>
                            </m:r>
                          </m:sub>
                        </m:sSub>
                      </m:e>
                    </m:d>
                  </m:oMath>
                </m:oMathPara>
              </a14:m>
              <a:endParaRPr lang="en-US" sz="1100"/>
            </a:p>
            <a:p>
              <a:pPr marL="0" marR="0" lvl="0" indent="0" defTabSz="914400" eaLnBrk="1" fontAlgn="auto" latinLnBrk="0" hangingPunct="1">
                <a:lnSpc>
                  <a:spcPct val="100000"/>
                </a:lnSpc>
                <a:spcBef>
                  <a:spcPts val="0"/>
                </a:spcBef>
                <a:spcAft>
                  <a:spcPts val="0"/>
                </a:spcAft>
                <a:buClrTx/>
                <a:buSzTx/>
                <a:buFontTx/>
                <a:buNone/>
                <a:tabLst/>
                <a:defRPr/>
              </a:pPr>
              <a:endParaRPr lang="en-US" sz="1100"/>
            </a:p>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sSub>
                      <m:sSubPr>
                        <m:ctrlPr>
                          <a:rPr lang="es-ES" sz="1100" b="0" i="1">
                            <a:latin typeface="Cambria Math" panose="02040503050406030204" pitchFamily="18" charset="0"/>
                          </a:rPr>
                        </m:ctrlPr>
                      </m:sSubPr>
                      <m:e>
                        <m:r>
                          <m:rPr>
                            <m:sty m:val="p"/>
                          </m:rPr>
                          <a:rPr lang="es-ES" sz="1100" b="0" i="0">
                            <a:latin typeface="Cambria Math" panose="02040503050406030204" pitchFamily="18" charset="0"/>
                          </a:rPr>
                          <m:t>P</m:t>
                        </m:r>
                      </m:e>
                      <m:sub>
                        <m:r>
                          <a:rPr lang="es-ES" sz="1100" b="0" i="0">
                            <a:latin typeface="Cambria Math" panose="02040503050406030204" pitchFamily="18" charset="0"/>
                          </a:rPr>
                          <m:t>0</m:t>
                        </m:r>
                      </m:sub>
                    </m:sSub>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𝐵</m:t>
                        </m:r>
                        <m:sSub>
                          <m:sSubPr>
                            <m:ctrlPr>
                              <a:rPr lang="es-ES" sz="1100" b="0" i="1">
                                <a:latin typeface="Cambria Math" panose="02040503050406030204" pitchFamily="18" charset="0"/>
                              </a:rPr>
                            </m:ctrlPr>
                          </m:sSubPr>
                          <m:e>
                            <m:r>
                              <a:rPr lang="es-ES" sz="1100" b="0" i="1">
                                <a:latin typeface="Cambria Math" panose="02040503050406030204" pitchFamily="18" charset="0"/>
                              </a:rPr>
                              <m:t>𝑉</m:t>
                            </m:r>
                          </m:e>
                          <m:sub>
                            <m:r>
                              <a:rPr lang="es-ES" sz="1100" b="0" i="1">
                                <a:latin typeface="Cambria Math" panose="02040503050406030204" pitchFamily="18" charset="0"/>
                              </a:rPr>
                              <m:t>0</m:t>
                            </m:r>
                          </m:sub>
                        </m:sSub>
                        <m:r>
                          <a:rPr lang="es-ES" sz="1100" b="0" i="1">
                            <a:latin typeface="Cambria Math" panose="02040503050406030204" pitchFamily="18" charset="0"/>
                          </a:rPr>
                          <m:t>∗</m:t>
                        </m:r>
                        <m:r>
                          <a:rPr lang="es-ES" sz="1100" b="0" i="1">
                            <a:latin typeface="Cambria Math" panose="02040503050406030204" pitchFamily="18" charset="0"/>
                          </a:rPr>
                          <m:t>𝑅𝑂𝐸</m:t>
                        </m:r>
                        <m:r>
                          <a:rPr lang="es-ES" sz="1100" b="0" i="0">
                            <a:latin typeface="Cambria Math" panose="02040503050406030204" pitchFamily="18" charset="0"/>
                          </a:rPr>
                          <m:t>∗</m:t>
                        </m:r>
                        <m:r>
                          <m:rPr>
                            <m:sty m:val="p"/>
                          </m:rPr>
                          <a:rPr lang="es-ES" sz="1100" b="0" i="0">
                            <a:latin typeface="Cambria Math" panose="02040503050406030204" pitchFamily="18" charset="0"/>
                          </a:rPr>
                          <m:t>payout</m:t>
                        </m:r>
                        <m:r>
                          <a:rPr lang="es-ES" sz="1100" b="0" i="0">
                            <a:latin typeface="Cambria Math" panose="02040503050406030204" pitchFamily="18" charset="0"/>
                          </a:rPr>
                          <m:t>∗</m:t>
                        </m:r>
                        <m:d>
                          <m:dPr>
                            <m:ctrlPr>
                              <a:rPr lang="es-ES" sz="1100" b="0" i="1">
                                <a:latin typeface="Cambria Math" panose="02040503050406030204" pitchFamily="18" charset="0"/>
                              </a:rPr>
                            </m:ctrlPr>
                          </m:dPr>
                          <m:e>
                            <m:r>
                              <a:rPr lang="es-ES" sz="1100" b="0" i="0">
                                <a:latin typeface="Cambria Math" panose="02040503050406030204" pitchFamily="18" charset="0"/>
                              </a:rPr>
                              <m:t>1+</m:t>
                            </m:r>
                            <m:sSub>
                              <m:sSubPr>
                                <m:ctrlPr>
                                  <a:rPr lang="es-ES" sz="1100" b="0" i="1">
                                    <a:latin typeface="Cambria Math" panose="02040503050406030204" pitchFamily="18" charset="0"/>
                                  </a:rPr>
                                </m:ctrlPr>
                              </m:sSubPr>
                              <m:e>
                                <m:r>
                                  <m:rPr>
                                    <m:sty m:val="p"/>
                                  </m:rPr>
                                  <a:rPr lang="es-ES" sz="1100" b="0" i="0">
                                    <a:latin typeface="Cambria Math" panose="02040503050406030204" pitchFamily="18" charset="0"/>
                                  </a:rPr>
                                  <m:t>g</m:t>
                                </m:r>
                              </m:e>
                              <m:sub>
                                <m:r>
                                  <m:rPr>
                                    <m:sty m:val="p"/>
                                  </m:rPr>
                                  <a:rPr lang="es-ES" sz="1100" b="0" i="0">
                                    <a:latin typeface="Cambria Math" panose="02040503050406030204" pitchFamily="18" charset="0"/>
                                  </a:rPr>
                                  <m:t>n</m:t>
                                </m:r>
                              </m:sub>
                            </m:sSub>
                          </m:e>
                        </m:d>
                      </m:num>
                      <m:den>
                        <m:r>
                          <a:rPr lang="es-ES" sz="1100" b="0" i="1">
                            <a:latin typeface="Cambria Math" panose="02040503050406030204" pitchFamily="18" charset="0"/>
                          </a:rPr>
                          <m:t>𝑟</m:t>
                        </m:r>
                        <m:r>
                          <a:rPr lang="es-ES" sz="1100" b="0" i="1">
                            <a:latin typeface="Cambria Math" panose="02040503050406030204" pitchFamily="18" charset="0"/>
                          </a:rPr>
                          <m:t>−</m:t>
                        </m:r>
                        <m:sSub>
                          <m:sSubPr>
                            <m:ctrlPr>
                              <a:rPr lang="es-ES" sz="1100" b="0" i="1">
                                <a:latin typeface="Cambria Math" panose="02040503050406030204" pitchFamily="18" charset="0"/>
                              </a:rPr>
                            </m:ctrlPr>
                          </m:sSubPr>
                          <m:e>
                            <m:r>
                              <a:rPr lang="es-ES" sz="1100" b="0" i="1">
                                <a:latin typeface="Cambria Math" panose="02040503050406030204" pitchFamily="18" charset="0"/>
                              </a:rPr>
                              <m:t>𝑔</m:t>
                            </m:r>
                          </m:e>
                          <m:sub>
                            <m:r>
                              <a:rPr lang="es-ES" sz="1100" b="0" i="1">
                                <a:latin typeface="Cambria Math" panose="02040503050406030204" pitchFamily="18" charset="0"/>
                              </a:rPr>
                              <m:t>𝑛</m:t>
                            </m:r>
                          </m:sub>
                        </m:sSub>
                      </m:den>
                    </m:f>
                  </m:oMath>
                </m:oMathPara>
              </a14:m>
              <a:endParaRPr lang="en-US" sz="1100"/>
            </a:p>
            <a:p>
              <a:pPr marL="0" marR="0" lvl="0" indent="0" defTabSz="914400" eaLnBrk="1" fontAlgn="auto" latinLnBrk="0" hangingPunct="1">
                <a:lnSpc>
                  <a:spcPct val="100000"/>
                </a:lnSpc>
                <a:spcBef>
                  <a:spcPts val="0"/>
                </a:spcBef>
                <a:spcAft>
                  <a:spcPts val="0"/>
                </a:spcAft>
                <a:buClrTx/>
                <a:buSzTx/>
                <a:buFontTx/>
                <a:buNone/>
                <a:tabLst/>
                <a:defRPr/>
              </a:pPr>
              <a:endParaRPr lang="en-US" sz="1100"/>
            </a:p>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f>
                      <m:fPr>
                        <m:ctrlPr>
                          <a:rPr lang="es-ES" sz="1100" b="0" i="1">
                            <a:latin typeface="Cambria Math" panose="02040503050406030204" pitchFamily="18" charset="0"/>
                          </a:rPr>
                        </m:ctrlPr>
                      </m:fPr>
                      <m:num>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num>
                      <m:den>
                        <m:r>
                          <m:rPr>
                            <m:sty m:val="p"/>
                          </m:rPr>
                          <a:rPr lang="es-ES" sz="1100" b="0" i="0">
                            <a:latin typeface="Cambria Math" panose="02040503050406030204" pitchFamily="18" charset="0"/>
                          </a:rPr>
                          <m:t>payout</m:t>
                        </m:r>
                        <m:r>
                          <a:rPr lang="es-ES" sz="1100" b="0" i="0">
                            <a:latin typeface="Cambria Math" panose="02040503050406030204" pitchFamily="18" charset="0"/>
                          </a:rPr>
                          <m:t>∗</m:t>
                        </m:r>
                        <m:d>
                          <m:dPr>
                            <m:ctrlPr>
                              <a:rPr lang="es-ES" sz="1100" b="0" i="1">
                                <a:latin typeface="Cambria Math" panose="02040503050406030204" pitchFamily="18" charset="0"/>
                              </a:rPr>
                            </m:ctrlPr>
                          </m:dPr>
                          <m:e>
                            <m:r>
                              <a:rPr lang="es-ES" sz="1100" b="0" i="0">
                                <a:latin typeface="Cambria Math" panose="02040503050406030204" pitchFamily="18" charset="0"/>
                              </a:rPr>
                              <m:t>1+</m:t>
                            </m:r>
                            <m:sSub>
                              <m:sSubPr>
                                <m:ctrlPr>
                                  <a:rPr lang="es-ES" sz="1100" b="0" i="1">
                                    <a:latin typeface="Cambria Math" panose="02040503050406030204" pitchFamily="18" charset="0"/>
                                  </a:rPr>
                                </m:ctrlPr>
                              </m:sSubPr>
                              <m:e>
                                <m:r>
                                  <m:rPr>
                                    <m:sty m:val="p"/>
                                  </m:rPr>
                                  <a:rPr lang="es-ES" sz="1100" b="0" i="0">
                                    <a:latin typeface="Cambria Math" panose="02040503050406030204" pitchFamily="18" charset="0"/>
                                  </a:rPr>
                                  <m:t>g</m:t>
                                </m:r>
                              </m:e>
                              <m:sub>
                                <m:r>
                                  <m:rPr>
                                    <m:sty m:val="p"/>
                                  </m:rPr>
                                  <a:rPr lang="es-ES" sz="1100" b="0" i="0">
                                    <a:latin typeface="Cambria Math" panose="02040503050406030204" pitchFamily="18" charset="0"/>
                                  </a:rPr>
                                  <m:t>n</m:t>
                                </m:r>
                              </m:sub>
                            </m:sSub>
                          </m:e>
                        </m:d>
                      </m:den>
                    </m:f>
                    <m:r>
                      <a:rPr lang="es-ES" sz="1100" b="0" i="0">
                        <a:latin typeface="Cambria Math" panose="02040503050406030204" pitchFamily="18" charset="0"/>
                      </a:rPr>
                      <m:t>=</m:t>
                    </m:r>
                    <m:sSub>
                      <m:sSubPr>
                        <m:ctrlPr>
                          <a:rPr lang="es-ES" sz="1100" b="0" i="1">
                            <a:latin typeface="Cambria Math" panose="02040503050406030204" pitchFamily="18" charset="0"/>
                          </a:rPr>
                        </m:ctrlPr>
                      </m:sSubPr>
                      <m:e>
                        <m:r>
                          <m:rPr>
                            <m:sty m:val="p"/>
                          </m:rPr>
                          <a:rPr lang="es-ES" sz="1100" b="0" i="0">
                            <a:latin typeface="Cambria Math" panose="02040503050406030204" pitchFamily="18" charset="0"/>
                          </a:rPr>
                          <m:t>EPS</m:t>
                        </m:r>
                      </m:e>
                      <m:sub>
                        <m:r>
                          <a:rPr lang="es-ES" sz="1100" b="0" i="0">
                            <a:latin typeface="Cambria Math" panose="02040503050406030204" pitchFamily="18" charset="0"/>
                          </a:rPr>
                          <m:t>0</m:t>
                        </m:r>
                      </m:sub>
                    </m:sSub>
                  </m:oMath>
                </m:oMathPara>
              </a14:m>
              <a:endParaRPr lang="en-US" sz="1100"/>
            </a:p>
            <a:p>
              <a:pPr marL="0" marR="0" lvl="0" indent="0" defTabSz="914400" eaLnBrk="1" fontAlgn="auto" latinLnBrk="0" hangingPunct="1">
                <a:lnSpc>
                  <a:spcPct val="100000"/>
                </a:lnSpc>
                <a:spcBef>
                  <a:spcPts val="0"/>
                </a:spcBef>
                <a:spcAft>
                  <a:spcPts val="0"/>
                </a:spcAft>
                <a:buClrTx/>
                <a:buSzTx/>
                <a:buFontTx/>
                <a:buNone/>
                <a:tabLst/>
                <a:defRPr/>
              </a:pPr>
              <a:endParaRPr lang="en-US" sz="1100"/>
            </a:p>
          </xdr:txBody>
        </xdr:sp>
      </mc:Choice>
      <mc:Fallback>
        <xdr:sp macro="" textlink="">
          <xdr:nvSpPr>
            <xdr:cNvPr id="3" name="TextBox 2">
              <a:extLst>
                <a:ext uri="{FF2B5EF4-FFF2-40B4-BE49-F238E27FC236}">
                  <a16:creationId xmlns:a16="http://schemas.microsoft.com/office/drawing/2014/main" id="{E3363DE6-5390-2042-A6EB-420E21AC10B8}"/>
                </a:ext>
              </a:extLst>
            </xdr:cNvPr>
            <xdr:cNvSpPr txBox="1"/>
          </xdr:nvSpPr>
          <xdr:spPr>
            <a:xfrm>
              <a:off x="1294191" y="852714"/>
              <a:ext cx="2890762" cy="1566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ES" sz="1100" b="0" i="0">
                  <a:latin typeface="Cambria Math" panose="02040503050406030204" pitchFamily="18" charset="0"/>
                </a:rPr>
                <a:t>𝐷𝑃𝑆_1=EPS_0∗payout∗(1+g_n )</a:t>
              </a:r>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s-ES" sz="1100" b="0" i="0">
                  <a:latin typeface="Cambria Math" panose="02040503050406030204" pitchFamily="18" charset="0"/>
                </a:rPr>
                <a:t>𝐷𝑃𝑆_1=𝐷𝑃𝑆_0∗(1+g_n )</a:t>
              </a:r>
              <a:endParaRPr lang="en-US" sz="1100"/>
            </a:p>
            <a:p>
              <a:pPr marL="0" marR="0" lvl="0" indent="0" defTabSz="914400" eaLnBrk="1" fontAlgn="auto" latinLnBrk="0" hangingPunct="1">
                <a:lnSpc>
                  <a:spcPct val="100000"/>
                </a:lnSpc>
                <a:spcBef>
                  <a:spcPts val="0"/>
                </a:spcBef>
                <a:spcAft>
                  <a:spcPts val="0"/>
                </a:spcAft>
                <a:buClrTx/>
                <a:buSzTx/>
                <a:buFontTx/>
                <a:buNone/>
                <a:tabLst/>
                <a:defRPr/>
              </a:pPr>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s-ES" sz="1100" b="0" i="0">
                  <a:latin typeface="Cambria Math" panose="02040503050406030204" pitchFamily="18" charset="0"/>
                </a:rPr>
                <a:t>P_0=(𝐵𝑉_0∗𝑅𝑂𝐸∗payout∗(1+g_n ))/(𝑟−𝑔_𝑛 )</a:t>
              </a:r>
              <a:endParaRPr lang="en-US" sz="1100"/>
            </a:p>
            <a:p>
              <a:pPr marL="0" marR="0" lvl="0" indent="0" defTabSz="914400" eaLnBrk="1" fontAlgn="auto" latinLnBrk="0" hangingPunct="1">
                <a:lnSpc>
                  <a:spcPct val="100000"/>
                </a:lnSpc>
                <a:spcBef>
                  <a:spcPts val="0"/>
                </a:spcBef>
                <a:spcAft>
                  <a:spcPts val="0"/>
                </a:spcAft>
                <a:buClrTx/>
                <a:buSzTx/>
                <a:buFontTx/>
                <a:buNone/>
                <a:tabLst/>
                <a:defRPr/>
              </a:pPr>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s-ES" sz="1100" b="0" i="0">
                  <a:latin typeface="Cambria Math" panose="02040503050406030204" pitchFamily="18" charset="0"/>
                </a:rPr>
                <a:t>(𝐷𝑃𝑆_1)/(payout∗(1+g_n ) )=EPS_0</a:t>
              </a:r>
              <a:endParaRPr lang="en-US" sz="1100"/>
            </a:p>
            <a:p>
              <a:pPr marL="0" marR="0" lvl="0" indent="0" defTabSz="914400" eaLnBrk="1" fontAlgn="auto" latinLnBrk="0" hangingPunct="1">
                <a:lnSpc>
                  <a:spcPct val="100000"/>
                </a:lnSpc>
                <a:spcBef>
                  <a:spcPts val="0"/>
                </a:spcBef>
                <a:spcAft>
                  <a:spcPts val="0"/>
                </a:spcAft>
                <a:buClrTx/>
                <a:buSzTx/>
                <a:buFontTx/>
                <a:buNone/>
                <a:tabLst/>
                <a:defRPr/>
              </a:pPr>
              <a:endParaRPr lang="en-US" sz="1100"/>
            </a:p>
          </xdr:txBody>
        </xdr:sp>
      </mc:Fallback>
    </mc:AlternateContent>
    <xdr:clientData/>
  </xdr:oneCellAnchor>
  <xdr:oneCellAnchor>
    <xdr:from>
      <xdr:col>0</xdr:col>
      <xdr:colOff>534609</xdr:colOff>
      <xdr:row>15</xdr:row>
      <xdr:rowOff>41728</xdr:rowOff>
    </xdr:from>
    <xdr:ext cx="2927596" cy="1604670"/>
    <mc:AlternateContent xmlns:mc="http://schemas.openxmlformats.org/markup-compatibility/2006">
      <mc:Choice xmlns:a14="http://schemas.microsoft.com/office/drawing/2010/main" Requires="a14">
        <xdr:sp macro="" textlink="">
          <xdr:nvSpPr>
            <xdr:cNvPr id="4" name="TextBox 3">
              <a:extLst>
                <a:ext uri="{FF2B5EF4-FFF2-40B4-BE49-F238E27FC236}">
                  <a16:creationId xmlns:a16="http://schemas.microsoft.com/office/drawing/2014/main" id="{E0761AA4-806F-22F5-C458-CD762DA2054E}"/>
                </a:ext>
              </a:extLst>
            </xdr:cNvPr>
            <xdr:cNvSpPr txBox="1"/>
          </xdr:nvSpPr>
          <xdr:spPr>
            <a:xfrm>
              <a:off x="534609" y="3126014"/>
              <a:ext cx="2927596" cy="1604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Para xmlns:m="http://schemas.openxmlformats.org/officeDocument/2006/math">
                  <m:oMathParaPr>
                    <m:jc m:val="centerGroup"/>
                  </m:oMathParaPr>
                  <m:oMath xmlns:m="http://schemas.openxmlformats.org/officeDocument/2006/math">
                    <m:f>
                      <m:fPr>
                        <m:ctrlPr>
                          <a:rPr lang="es-ES" sz="1100" b="0" i="1">
                            <a:latin typeface="Cambria Math" panose="02040503050406030204" pitchFamily="18" charset="0"/>
                          </a:rPr>
                        </m:ctrlPr>
                      </m:fPr>
                      <m:num>
                        <m:sSub>
                          <m:sSubPr>
                            <m:ctrlPr>
                              <a:rPr lang="es-ES" sz="1100" b="0" i="1">
                                <a:latin typeface="Cambria Math" panose="02040503050406030204" pitchFamily="18" charset="0"/>
                              </a:rPr>
                            </m:ctrlPr>
                          </m:sSubPr>
                          <m:e>
                            <m:r>
                              <a:rPr lang="es-ES" sz="1100" b="0" i="1">
                                <a:latin typeface="Cambria Math" panose="02040503050406030204" pitchFamily="18" charset="0"/>
                              </a:rPr>
                              <m:t>𝑃</m:t>
                            </m:r>
                          </m:e>
                          <m:sub>
                            <m:r>
                              <a:rPr lang="es-ES" sz="1100" b="0" i="1">
                                <a:latin typeface="Cambria Math" panose="02040503050406030204" pitchFamily="18" charset="0"/>
                              </a:rPr>
                              <m:t>0</m:t>
                            </m:r>
                          </m:sub>
                        </m:sSub>
                      </m:num>
                      <m:den>
                        <m:r>
                          <a:rPr lang="es-ES" sz="1100" b="0" i="1">
                            <a:latin typeface="Cambria Math" panose="02040503050406030204" pitchFamily="18" charset="0"/>
                          </a:rPr>
                          <m:t>𝐸𝑃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0</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d>
                          <m:dPr>
                            <m:ctrlPr>
                              <a:rPr lang="es-ES" sz="1100" b="0" i="1">
                                <a:latin typeface="Cambria Math" panose="02040503050406030204" pitchFamily="18" charset="0"/>
                              </a:rPr>
                            </m:ctrlPr>
                          </m:dPr>
                          <m:e>
                            <m:f>
                              <m:fPr>
                                <m:ctrlPr>
                                  <a:rPr lang="es-ES" sz="1100" b="0" i="1">
                                    <a:latin typeface="Cambria Math" panose="02040503050406030204" pitchFamily="18" charset="0"/>
                                  </a:rPr>
                                </m:ctrlPr>
                              </m:fPr>
                              <m:num>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num>
                              <m:den>
                                <m:r>
                                  <a:rPr lang="es-ES" sz="1100" b="0" i="1">
                                    <a:latin typeface="Cambria Math" panose="02040503050406030204" pitchFamily="18" charset="0"/>
                                  </a:rPr>
                                  <m:t>𝑟</m:t>
                                </m:r>
                                <m:r>
                                  <a:rPr lang="es-ES" sz="1100" b="0" i="1">
                                    <a:latin typeface="Cambria Math" panose="02040503050406030204" pitchFamily="18" charset="0"/>
                                  </a:rPr>
                                  <m:t>−</m:t>
                                </m:r>
                                <m:sSub>
                                  <m:sSubPr>
                                    <m:ctrlPr>
                                      <a:rPr lang="es-ES" sz="1100" b="0" i="1">
                                        <a:latin typeface="Cambria Math" panose="02040503050406030204" pitchFamily="18" charset="0"/>
                                      </a:rPr>
                                    </m:ctrlPr>
                                  </m:sSubPr>
                                  <m:e>
                                    <m:r>
                                      <a:rPr lang="es-ES" sz="1100" b="0" i="1">
                                        <a:latin typeface="Cambria Math" panose="02040503050406030204" pitchFamily="18" charset="0"/>
                                      </a:rPr>
                                      <m:t>𝑔</m:t>
                                    </m:r>
                                  </m:e>
                                  <m:sub>
                                    <m:r>
                                      <a:rPr lang="es-ES" sz="1100" b="0" i="1">
                                        <a:latin typeface="Cambria Math" panose="02040503050406030204" pitchFamily="18" charset="0"/>
                                      </a:rPr>
                                      <m:t>𝑛</m:t>
                                    </m:r>
                                  </m:sub>
                                </m:sSub>
                              </m:den>
                            </m:f>
                          </m:e>
                        </m:d>
                      </m:num>
                      <m:den>
                        <m:f>
                          <m:fPr>
                            <m:ctrlPr>
                              <a:rPr lang="es-ES" sz="1100" b="0" i="1">
                                <a:latin typeface="Cambria Math" panose="02040503050406030204" pitchFamily="18" charset="0"/>
                              </a:rPr>
                            </m:ctrlPr>
                          </m:fPr>
                          <m:num>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num>
                          <m:den>
                            <m:r>
                              <m:rPr>
                                <m:sty m:val="p"/>
                              </m:rPr>
                              <a:rPr lang="es-ES" sz="1100" b="0" i="0">
                                <a:latin typeface="Cambria Math" panose="02040503050406030204" pitchFamily="18" charset="0"/>
                              </a:rPr>
                              <m:t>payout</m:t>
                            </m:r>
                            <m:r>
                              <a:rPr lang="es-ES" sz="1100" b="0" i="0">
                                <a:latin typeface="Cambria Math" panose="02040503050406030204" pitchFamily="18" charset="0"/>
                              </a:rPr>
                              <m:t>∗</m:t>
                            </m:r>
                            <m:d>
                              <m:dPr>
                                <m:ctrlPr>
                                  <a:rPr lang="es-ES" sz="1100" b="0" i="1">
                                    <a:latin typeface="Cambria Math" panose="02040503050406030204" pitchFamily="18" charset="0"/>
                                  </a:rPr>
                                </m:ctrlPr>
                              </m:dPr>
                              <m:e>
                                <m:r>
                                  <a:rPr lang="es-ES" sz="1100" b="0" i="0">
                                    <a:latin typeface="Cambria Math" panose="02040503050406030204" pitchFamily="18" charset="0"/>
                                  </a:rPr>
                                  <m:t>1+</m:t>
                                </m:r>
                                <m:sSub>
                                  <m:sSubPr>
                                    <m:ctrlPr>
                                      <a:rPr lang="es-ES" sz="1100" b="0" i="1">
                                        <a:latin typeface="Cambria Math" panose="02040503050406030204" pitchFamily="18" charset="0"/>
                                      </a:rPr>
                                    </m:ctrlPr>
                                  </m:sSubPr>
                                  <m:e>
                                    <m:r>
                                      <m:rPr>
                                        <m:sty m:val="p"/>
                                      </m:rPr>
                                      <a:rPr lang="es-ES" sz="1100" b="0" i="0">
                                        <a:latin typeface="Cambria Math" panose="02040503050406030204" pitchFamily="18" charset="0"/>
                                      </a:rPr>
                                      <m:t>g</m:t>
                                    </m:r>
                                  </m:e>
                                  <m:sub>
                                    <m:r>
                                      <m:rPr>
                                        <m:sty m:val="p"/>
                                      </m:rPr>
                                      <a:rPr lang="es-ES" sz="1100" b="0" i="0">
                                        <a:latin typeface="Cambria Math" panose="02040503050406030204" pitchFamily="18" charset="0"/>
                                      </a:rPr>
                                      <m:t>n</m:t>
                                    </m:r>
                                  </m:sub>
                                </m:sSub>
                              </m:e>
                            </m:d>
                          </m:den>
                        </m:f>
                      </m:den>
                    </m:f>
                    <m:r>
                      <a:rPr lang="es-ES" sz="1100" b="0" i="1">
                        <a:latin typeface="Cambria Math" panose="02040503050406030204" pitchFamily="18" charset="0"/>
                      </a:rPr>
                      <m:t>=</m:t>
                    </m:r>
                    <m:f>
                      <m:fPr>
                        <m:ctrlPr>
                          <a:rPr lang="es-ES" sz="1100" b="0" i="1">
                            <a:latin typeface="Cambria Math" panose="02040503050406030204" pitchFamily="18" charset="0"/>
                          </a:rPr>
                        </m:ctrlPr>
                      </m:fPr>
                      <m:num>
                        <m:r>
                          <m:rPr>
                            <m:sty m:val="p"/>
                          </m:rPr>
                          <a:rPr lang="es-ES" sz="1100" b="0" i="0">
                            <a:latin typeface="Cambria Math" panose="02040503050406030204" pitchFamily="18" charset="0"/>
                          </a:rPr>
                          <m:t>payout</m:t>
                        </m:r>
                        <m:r>
                          <a:rPr lang="es-ES" sz="1100" b="0" i="0">
                            <a:latin typeface="Cambria Math" panose="02040503050406030204" pitchFamily="18" charset="0"/>
                          </a:rPr>
                          <m:t>∗</m:t>
                        </m:r>
                        <m:d>
                          <m:dPr>
                            <m:ctrlPr>
                              <a:rPr lang="es-ES" sz="1100" b="0" i="1">
                                <a:latin typeface="Cambria Math" panose="02040503050406030204" pitchFamily="18" charset="0"/>
                              </a:rPr>
                            </m:ctrlPr>
                          </m:dPr>
                          <m:e>
                            <m:r>
                              <a:rPr lang="es-ES" sz="1100" b="0" i="0">
                                <a:latin typeface="Cambria Math" panose="02040503050406030204" pitchFamily="18" charset="0"/>
                              </a:rPr>
                              <m:t>1+</m:t>
                            </m:r>
                            <m:sSub>
                              <m:sSubPr>
                                <m:ctrlPr>
                                  <a:rPr lang="es-ES" sz="1100" b="0" i="1">
                                    <a:latin typeface="Cambria Math" panose="02040503050406030204" pitchFamily="18" charset="0"/>
                                  </a:rPr>
                                </m:ctrlPr>
                              </m:sSubPr>
                              <m:e>
                                <m:r>
                                  <m:rPr>
                                    <m:sty m:val="p"/>
                                  </m:rPr>
                                  <a:rPr lang="es-ES" sz="1100" b="0" i="0">
                                    <a:latin typeface="Cambria Math" panose="02040503050406030204" pitchFamily="18" charset="0"/>
                                  </a:rPr>
                                  <m:t>g</m:t>
                                </m:r>
                              </m:e>
                              <m:sub>
                                <m:r>
                                  <m:rPr>
                                    <m:sty m:val="p"/>
                                  </m:rPr>
                                  <a:rPr lang="es-ES" sz="1100" b="0" i="0">
                                    <a:latin typeface="Cambria Math" panose="02040503050406030204" pitchFamily="18" charset="0"/>
                                  </a:rPr>
                                  <m:t>n</m:t>
                                </m:r>
                              </m:sub>
                            </m:sSub>
                          </m:e>
                        </m:d>
                      </m:num>
                      <m:den>
                        <m:r>
                          <a:rPr lang="es-ES" sz="1100" b="0" i="1">
                            <a:latin typeface="Cambria Math" panose="02040503050406030204" pitchFamily="18" charset="0"/>
                          </a:rPr>
                          <m:t>𝑟</m:t>
                        </m:r>
                        <m:r>
                          <a:rPr lang="es-ES" sz="1100" b="0" i="1">
                            <a:latin typeface="Cambria Math" panose="02040503050406030204" pitchFamily="18" charset="0"/>
                          </a:rPr>
                          <m:t>−</m:t>
                        </m:r>
                        <m:sSub>
                          <m:sSubPr>
                            <m:ctrlPr>
                              <a:rPr lang="es-ES" sz="1100" b="0" i="1">
                                <a:latin typeface="Cambria Math" panose="02040503050406030204" pitchFamily="18" charset="0"/>
                              </a:rPr>
                            </m:ctrlPr>
                          </m:sSubPr>
                          <m:e>
                            <m:r>
                              <a:rPr lang="es-ES" sz="1100" b="0" i="1">
                                <a:latin typeface="Cambria Math" panose="02040503050406030204" pitchFamily="18" charset="0"/>
                              </a:rPr>
                              <m:t>𝑔</m:t>
                            </m:r>
                          </m:e>
                          <m:sub>
                            <m:r>
                              <a:rPr lang="es-ES" sz="1100" b="0" i="1">
                                <a:latin typeface="Cambria Math" panose="02040503050406030204" pitchFamily="18" charset="0"/>
                              </a:rPr>
                              <m:t>𝑛</m:t>
                            </m:r>
                          </m:sub>
                        </m:sSub>
                      </m:den>
                    </m:f>
                    <m:r>
                      <a:rPr lang="es-ES" sz="1100" b="0" i="1">
                        <a:latin typeface="Cambria Math" panose="02040503050406030204" pitchFamily="18" charset="0"/>
                      </a:rPr>
                      <m:t> </m:t>
                    </m:r>
                  </m:oMath>
                </m:oMathPara>
              </a14:m>
              <a:endParaRPr lang="en-US" sz="1100"/>
            </a:p>
            <a:p>
              <a:endParaRPr lang="en-US" sz="1100"/>
            </a:p>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f>
                      <m:fPr>
                        <m:ctrlPr>
                          <a:rPr lang="es-ES" sz="1100" b="0" i="1">
                            <a:latin typeface="Cambria Math" panose="02040503050406030204" pitchFamily="18" charset="0"/>
                          </a:rPr>
                        </m:ctrlPr>
                      </m:fPr>
                      <m:num>
                        <m:sSub>
                          <m:sSubPr>
                            <m:ctrlPr>
                              <a:rPr lang="es-ES" sz="1100" b="0" i="1">
                                <a:latin typeface="Cambria Math" panose="02040503050406030204" pitchFamily="18" charset="0"/>
                              </a:rPr>
                            </m:ctrlPr>
                          </m:sSubPr>
                          <m:e>
                            <m:r>
                              <a:rPr lang="es-ES" sz="1100" b="0" i="1">
                                <a:latin typeface="Cambria Math" panose="02040503050406030204" pitchFamily="18" charset="0"/>
                              </a:rPr>
                              <m:t>𝑃</m:t>
                            </m:r>
                          </m:e>
                          <m:sub>
                            <m:r>
                              <a:rPr lang="es-ES" sz="1100" b="0" i="1">
                                <a:latin typeface="Cambria Math" panose="02040503050406030204" pitchFamily="18" charset="0"/>
                              </a:rPr>
                              <m:t>0</m:t>
                            </m:r>
                          </m:sub>
                        </m:sSub>
                      </m:num>
                      <m:den>
                        <m:r>
                          <a:rPr lang="es-ES" sz="1100" b="0" i="1">
                            <a:latin typeface="Cambria Math" panose="02040503050406030204" pitchFamily="18" charset="0"/>
                          </a:rPr>
                          <m:t>𝐸𝑃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d>
                          <m:dPr>
                            <m:ctrlPr>
                              <a:rPr lang="es-ES" sz="1100" b="0" i="1">
                                <a:latin typeface="Cambria Math" panose="02040503050406030204" pitchFamily="18" charset="0"/>
                              </a:rPr>
                            </m:ctrlPr>
                          </m:dPr>
                          <m:e>
                            <m:f>
                              <m:fPr>
                                <m:ctrlPr>
                                  <a:rPr lang="es-ES" sz="1100" b="0" i="1">
                                    <a:latin typeface="Cambria Math" panose="02040503050406030204" pitchFamily="18" charset="0"/>
                                  </a:rPr>
                                </m:ctrlPr>
                              </m:fPr>
                              <m:num>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num>
                              <m:den>
                                <m:r>
                                  <a:rPr lang="es-ES" sz="1100" b="0" i="1">
                                    <a:latin typeface="Cambria Math" panose="02040503050406030204" pitchFamily="18" charset="0"/>
                                  </a:rPr>
                                  <m:t>𝑟</m:t>
                                </m:r>
                                <m:r>
                                  <a:rPr lang="es-ES" sz="1100" b="0" i="1">
                                    <a:latin typeface="Cambria Math" panose="02040503050406030204" pitchFamily="18" charset="0"/>
                                  </a:rPr>
                                  <m:t>−</m:t>
                                </m:r>
                                <m:sSub>
                                  <m:sSubPr>
                                    <m:ctrlPr>
                                      <a:rPr lang="es-ES" sz="1100" b="0" i="1">
                                        <a:latin typeface="Cambria Math" panose="02040503050406030204" pitchFamily="18" charset="0"/>
                                      </a:rPr>
                                    </m:ctrlPr>
                                  </m:sSubPr>
                                  <m:e>
                                    <m:r>
                                      <a:rPr lang="es-ES" sz="1100" b="0" i="1">
                                        <a:latin typeface="Cambria Math" panose="02040503050406030204" pitchFamily="18" charset="0"/>
                                      </a:rPr>
                                      <m:t>𝑔</m:t>
                                    </m:r>
                                  </m:e>
                                  <m:sub>
                                    <m:r>
                                      <a:rPr lang="es-ES" sz="1100" b="0" i="1">
                                        <a:latin typeface="Cambria Math" panose="02040503050406030204" pitchFamily="18" charset="0"/>
                                      </a:rPr>
                                      <m:t>𝑛</m:t>
                                    </m:r>
                                  </m:sub>
                                </m:sSub>
                              </m:den>
                            </m:f>
                          </m:e>
                        </m:d>
                      </m:num>
                      <m:den>
                        <m:f>
                          <m:fPr>
                            <m:ctrlPr>
                              <a:rPr lang="es-ES" sz="1100" b="0" i="1">
                                <a:latin typeface="Cambria Math" panose="02040503050406030204" pitchFamily="18" charset="0"/>
                              </a:rPr>
                            </m:ctrlPr>
                          </m:fPr>
                          <m:num>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num>
                          <m:den>
                            <m:r>
                              <m:rPr>
                                <m:sty m:val="p"/>
                              </m:rPr>
                              <a:rPr lang="es-ES" sz="1100" b="0" i="0">
                                <a:latin typeface="Cambria Math" panose="02040503050406030204" pitchFamily="18" charset="0"/>
                              </a:rPr>
                              <m:t>payout</m:t>
                            </m:r>
                          </m:den>
                        </m:f>
                      </m:den>
                    </m:f>
                    <m:r>
                      <a:rPr lang="es-ES" sz="1100" b="0" i="1">
                        <a:latin typeface="Cambria Math" panose="02040503050406030204" pitchFamily="18" charset="0"/>
                      </a:rPr>
                      <m:t>=</m:t>
                    </m:r>
                    <m:f>
                      <m:fPr>
                        <m:ctrlPr>
                          <a:rPr lang="es-ES" sz="1100" b="0" i="1">
                            <a:latin typeface="Cambria Math" panose="02040503050406030204" pitchFamily="18" charset="0"/>
                          </a:rPr>
                        </m:ctrlPr>
                      </m:fPr>
                      <m:num>
                        <m:r>
                          <m:rPr>
                            <m:sty m:val="p"/>
                          </m:rPr>
                          <a:rPr lang="es-ES" sz="1100" b="0" i="0">
                            <a:latin typeface="Cambria Math" panose="02040503050406030204" pitchFamily="18" charset="0"/>
                          </a:rPr>
                          <m:t>payout</m:t>
                        </m:r>
                      </m:num>
                      <m:den>
                        <m:r>
                          <a:rPr lang="es-ES" sz="1100" b="0" i="1">
                            <a:latin typeface="Cambria Math" panose="02040503050406030204" pitchFamily="18" charset="0"/>
                          </a:rPr>
                          <m:t>𝑟</m:t>
                        </m:r>
                        <m:r>
                          <a:rPr lang="es-ES" sz="1100" b="0" i="1">
                            <a:latin typeface="Cambria Math" panose="02040503050406030204" pitchFamily="18" charset="0"/>
                          </a:rPr>
                          <m:t>−</m:t>
                        </m:r>
                        <m:sSub>
                          <m:sSubPr>
                            <m:ctrlPr>
                              <a:rPr lang="es-ES" sz="1100" b="0" i="1">
                                <a:latin typeface="Cambria Math" panose="02040503050406030204" pitchFamily="18" charset="0"/>
                              </a:rPr>
                            </m:ctrlPr>
                          </m:sSubPr>
                          <m:e>
                            <m:r>
                              <a:rPr lang="es-ES" sz="1100" b="0" i="1">
                                <a:latin typeface="Cambria Math" panose="02040503050406030204" pitchFamily="18" charset="0"/>
                              </a:rPr>
                              <m:t>𝑔</m:t>
                            </m:r>
                          </m:e>
                          <m:sub>
                            <m:r>
                              <a:rPr lang="es-ES" sz="1100" b="0" i="1">
                                <a:latin typeface="Cambria Math" panose="02040503050406030204" pitchFamily="18" charset="0"/>
                              </a:rPr>
                              <m:t>𝑛</m:t>
                            </m:r>
                          </m:sub>
                        </m:sSub>
                      </m:den>
                    </m:f>
                    <m:r>
                      <a:rPr lang="es-ES" sz="1100" b="0" i="1">
                        <a:latin typeface="Cambria Math" panose="02040503050406030204" pitchFamily="18" charset="0"/>
                      </a:rPr>
                      <m:t> </m:t>
                    </m:r>
                  </m:oMath>
                </m:oMathPara>
              </a14:m>
              <a:endParaRPr lang="en-US" sz="1100"/>
            </a:p>
            <a:p>
              <a:endParaRPr lang="en-US" sz="1100"/>
            </a:p>
          </xdr:txBody>
        </xdr:sp>
      </mc:Choice>
      <mc:Fallback>
        <xdr:sp macro="" textlink="">
          <xdr:nvSpPr>
            <xdr:cNvPr id="4" name="TextBox 3">
              <a:extLst>
                <a:ext uri="{FF2B5EF4-FFF2-40B4-BE49-F238E27FC236}">
                  <a16:creationId xmlns:a16="http://schemas.microsoft.com/office/drawing/2014/main" id="{E0761AA4-806F-22F5-C458-CD762DA2054E}"/>
                </a:ext>
              </a:extLst>
            </xdr:cNvPr>
            <xdr:cNvSpPr txBox="1"/>
          </xdr:nvSpPr>
          <xdr:spPr>
            <a:xfrm>
              <a:off x="534609" y="3126014"/>
              <a:ext cx="2927596" cy="160467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ES" sz="1100" b="0" i="0">
                  <a:latin typeface="Cambria Math" panose="02040503050406030204" pitchFamily="18" charset="0"/>
                </a:rPr>
                <a:t>𝑃_0/(𝐸𝑃𝑆_0 )=(((𝐷𝑃𝑆_1)/(𝑟−𝑔_𝑛 )))/((𝐷𝑃𝑆_1)/(payout∗(1+g_n ) ))=(payout∗(1+g_n ))/(𝑟−𝑔_𝑛 )  </a:t>
              </a:r>
              <a:endParaRPr lang="en-US" sz="1100"/>
            </a:p>
            <a:p>
              <a:endParaRPr lang="en-US" sz="1100"/>
            </a:p>
            <a:p>
              <a:pPr marL="0" marR="0" lvl="0" indent="0" defTabSz="914400" eaLnBrk="1" fontAlgn="auto" latinLnBrk="0" hangingPunct="1">
                <a:lnSpc>
                  <a:spcPct val="100000"/>
                </a:lnSpc>
                <a:spcBef>
                  <a:spcPts val="0"/>
                </a:spcBef>
                <a:spcAft>
                  <a:spcPts val="0"/>
                </a:spcAft>
                <a:buClrTx/>
                <a:buSzTx/>
                <a:buFontTx/>
                <a:buNone/>
                <a:tabLst/>
                <a:defRPr/>
              </a:pPr>
              <a:r>
                <a:rPr lang="es-ES" sz="1100" b="0" i="0">
                  <a:latin typeface="Cambria Math" panose="02040503050406030204" pitchFamily="18" charset="0"/>
                </a:rPr>
                <a:t>𝑃_0/(𝐸𝑃𝑆_1 )=(((𝐷𝑃𝑆_1)/(𝑟−𝑔_𝑛 )))/((𝐷𝑃𝑆_1)/payout)=payout/(𝑟−𝑔_𝑛 )  </a:t>
              </a:r>
              <a:endParaRPr lang="en-US" sz="1100"/>
            </a:p>
            <a:p>
              <a:endParaRPr lang="en-US" sz="1100"/>
            </a:p>
          </xdr:txBody>
        </xdr:sp>
      </mc:Fallback>
    </mc:AlternateContent>
    <xdr:clientData/>
  </xdr:oneCellAnchor>
</xdr:wsDr>
</file>

<file path=xl/drawings/drawing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9</xdr:col>
      <xdr:colOff>321197</xdr:colOff>
      <xdr:row>6</xdr:row>
      <xdr:rowOff>177123</xdr:rowOff>
    </xdr:to>
    <xdr:pic>
      <xdr:nvPicPr>
        <xdr:cNvPr id="2" name="Picture 1">
          <a:extLst>
            <a:ext uri="{FF2B5EF4-FFF2-40B4-BE49-F238E27FC236}">
              <a16:creationId xmlns:a16="http://schemas.microsoft.com/office/drawing/2014/main" id="{EC45DC64-5C49-A203-E761-7EE6826B54A9}"/>
            </a:ext>
          </a:extLst>
        </xdr:cNvPr>
        <xdr:cNvPicPr>
          <a:picLocks noChangeAspect="1"/>
        </xdr:cNvPicPr>
      </xdr:nvPicPr>
      <xdr:blipFill>
        <a:blip xmlns:r="http://schemas.openxmlformats.org/officeDocument/2006/relationships" r:embed="rId1"/>
        <a:stretch>
          <a:fillRect/>
        </a:stretch>
      </xdr:blipFill>
      <xdr:spPr>
        <a:xfrm>
          <a:off x="0" y="0"/>
          <a:ext cx="7772400" cy="1382819"/>
        </a:xfrm>
        <a:prstGeom prst="rect">
          <a:avLst/>
        </a:prstGeom>
      </xdr:spPr>
    </xdr:pic>
    <xdr:clientData/>
  </xdr:twoCellAnchor>
  <xdr:twoCellAnchor editAs="oneCell">
    <xdr:from>
      <xdr:col>0</xdr:col>
      <xdr:colOff>0</xdr:colOff>
      <xdr:row>15</xdr:row>
      <xdr:rowOff>0</xdr:rowOff>
    </xdr:from>
    <xdr:to>
      <xdr:col>9</xdr:col>
      <xdr:colOff>314528</xdr:colOff>
      <xdr:row>20</xdr:row>
      <xdr:rowOff>74527</xdr:rowOff>
    </xdr:to>
    <xdr:pic>
      <xdr:nvPicPr>
        <xdr:cNvPr id="3" name="Picture 2">
          <a:extLst>
            <a:ext uri="{FF2B5EF4-FFF2-40B4-BE49-F238E27FC236}">
              <a16:creationId xmlns:a16="http://schemas.microsoft.com/office/drawing/2014/main" id="{57232EFF-C9CF-CF52-ECA7-A74FE288C15E}"/>
            </a:ext>
          </a:extLst>
        </xdr:cNvPr>
        <xdr:cNvPicPr>
          <a:picLocks noChangeAspect="1"/>
        </xdr:cNvPicPr>
      </xdr:nvPicPr>
      <xdr:blipFill>
        <a:blip xmlns:r="http://schemas.openxmlformats.org/officeDocument/2006/relationships" r:embed="rId2"/>
        <a:stretch>
          <a:fillRect/>
        </a:stretch>
      </xdr:blipFill>
      <xdr:spPr>
        <a:xfrm>
          <a:off x="0" y="3107447"/>
          <a:ext cx="7772400" cy="1110342"/>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0</xdr:col>
      <xdr:colOff>166518</xdr:colOff>
      <xdr:row>1</xdr:row>
      <xdr:rowOff>72551</xdr:rowOff>
    </xdr:from>
    <xdr:ext cx="1591782" cy="1228350"/>
    <mc:AlternateContent xmlns:mc="http://schemas.openxmlformats.org/markup-compatibility/2006">
      <mc:Choice xmlns:a14="http://schemas.microsoft.com/office/drawing/2010/main" Requires="a14">
        <xdr:sp macro="" textlink="">
          <xdr:nvSpPr>
            <xdr:cNvPr id="2" name="TextBox 1">
              <a:extLst>
                <a:ext uri="{FF2B5EF4-FFF2-40B4-BE49-F238E27FC236}">
                  <a16:creationId xmlns:a16="http://schemas.microsoft.com/office/drawing/2014/main" id="{F79D18BE-3C59-27FC-2474-97AFCEFDC7B6}"/>
                </a:ext>
              </a:extLst>
            </xdr:cNvPr>
            <xdr:cNvSpPr txBox="1"/>
          </xdr:nvSpPr>
          <xdr:spPr>
            <a:xfrm>
              <a:off x="166518" y="273682"/>
              <a:ext cx="1591782" cy="12283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Para xmlns:m="http://schemas.openxmlformats.org/officeDocument/2006/math">
                  <m:oMathParaPr>
                    <m:jc m:val="centerGroup"/>
                  </m:oMathParaPr>
                  <m:oMath xmlns:m="http://schemas.openxmlformats.org/officeDocument/2006/math">
                    <m:r>
                      <a:rPr lang="es-ES" sz="1100" b="0" i="1">
                        <a:latin typeface="Cambria Math" panose="02040503050406030204" pitchFamily="18" charset="0"/>
                      </a:rPr>
                      <m:t>𝑃</m:t>
                    </m:r>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𝐷𝑃</m:t>
                        </m:r>
                        <m:sSub>
                          <m:sSubPr>
                            <m:ctrlPr>
                              <a:rPr lang="es-ES" sz="1100" b="0" i="1">
                                <a:latin typeface="Cambria Math" panose="02040503050406030204" pitchFamily="18" charset="0"/>
                              </a:rPr>
                            </m:ctrlPr>
                          </m:sSubPr>
                          <m:e>
                            <m:r>
                              <a:rPr lang="es-ES" sz="1100" b="0" i="1">
                                <a:latin typeface="Cambria Math" panose="02040503050406030204" pitchFamily="18" charset="0"/>
                              </a:rPr>
                              <m:t>𝑆</m:t>
                            </m:r>
                          </m:e>
                          <m:sub>
                            <m:r>
                              <a:rPr lang="es-ES" sz="1100" b="0" i="1">
                                <a:latin typeface="Cambria Math" panose="02040503050406030204" pitchFamily="18" charset="0"/>
                              </a:rPr>
                              <m:t>1</m:t>
                            </m:r>
                          </m:sub>
                        </m:sSub>
                      </m:num>
                      <m:den>
                        <m:r>
                          <a:rPr lang="es-ES" sz="1100" b="0" i="1">
                            <a:latin typeface="Cambria Math" panose="02040503050406030204" pitchFamily="18" charset="0"/>
                          </a:rPr>
                          <m:t>𝑟</m:t>
                        </m:r>
                        <m:r>
                          <a:rPr lang="es-ES" sz="1100" b="0" i="1">
                            <a:latin typeface="Cambria Math" panose="02040503050406030204" pitchFamily="18" charset="0"/>
                          </a:rPr>
                          <m:t>−</m:t>
                        </m:r>
                        <m:r>
                          <a:rPr lang="es-ES" sz="1100" b="0" i="1">
                            <a:latin typeface="Cambria Math" panose="02040503050406030204" pitchFamily="18" charset="0"/>
                          </a:rPr>
                          <m:t>𝑔</m:t>
                        </m:r>
                      </m:den>
                    </m:f>
                    <m:r>
                      <a:rPr lang="es-ES" sz="1100" b="0" i="1">
                        <a:latin typeface="Cambria Math" panose="02040503050406030204" pitchFamily="18" charset="0"/>
                      </a:rPr>
                      <m:t>=</m:t>
                    </m:r>
                    <m:f>
                      <m:fPr>
                        <m:ctrlPr>
                          <a:rPr lang="es-ES" sz="1100" b="0" i="1">
                            <a:latin typeface="Cambria Math" panose="02040503050406030204" pitchFamily="18" charset="0"/>
                          </a:rPr>
                        </m:ctrlPr>
                      </m:fPr>
                      <m:num>
                        <m:sSub>
                          <m:sSubPr>
                            <m:ctrlPr>
                              <a:rPr lang="es-ES" sz="1100" b="0" i="1">
                                <a:latin typeface="Cambria Math" panose="02040503050406030204" pitchFamily="18" charset="0"/>
                              </a:rPr>
                            </m:ctrlPr>
                          </m:sSubPr>
                          <m:e>
                            <m:r>
                              <a:rPr lang="es-ES" sz="1100" b="0" i="1">
                                <a:latin typeface="Cambria Math" panose="02040503050406030204" pitchFamily="18" charset="0"/>
                              </a:rPr>
                              <m:t>𝐸</m:t>
                            </m:r>
                          </m:e>
                          <m:sub>
                            <m:r>
                              <a:rPr lang="es-ES" sz="1100" b="0" i="1">
                                <a:latin typeface="Cambria Math" panose="02040503050406030204" pitchFamily="18" charset="0"/>
                              </a:rPr>
                              <m:t>0</m:t>
                            </m:r>
                          </m:sub>
                        </m:sSub>
                        <m:r>
                          <a:rPr lang="es-ES" sz="1100" b="0" i="1">
                            <a:latin typeface="Cambria Math" panose="02040503050406030204" pitchFamily="18" charset="0"/>
                          </a:rPr>
                          <m:t> </m:t>
                        </m:r>
                        <m:r>
                          <a:rPr lang="x-none" sz="1100">
                            <a:solidFill>
                              <a:schemeClr val="tx1"/>
                            </a:solidFill>
                            <a:effectLst/>
                            <a:latin typeface="+mn-lt"/>
                            <a:ea typeface="+mn-ea"/>
                            <a:cs typeface="+mn-cs"/>
                          </a:rPr>
                          <m:t>𝜌</m:t>
                        </m:r>
                        <m:r>
                          <m:rPr>
                            <m:nor/>
                          </m:rPr>
                          <a:rPr lang="x-none" sz="1100">
                            <a:solidFill>
                              <a:schemeClr val="tx1"/>
                            </a:solidFill>
                            <a:effectLst/>
                            <a:latin typeface="+mn-lt"/>
                            <a:ea typeface="+mn-ea"/>
                            <a:cs typeface="+mn-cs"/>
                          </a:rPr>
                          <m:t> </m:t>
                        </m:r>
                        <m:r>
                          <a:rPr lang="es-ES" sz="1100" b="0" i="1">
                            <a:solidFill>
                              <a:schemeClr val="tx1"/>
                            </a:solidFill>
                            <a:effectLst/>
                            <a:latin typeface="Cambria Math" panose="02040503050406030204" pitchFamily="18" charset="0"/>
                            <a:ea typeface="+mn-ea"/>
                            <a:cs typeface="+mn-cs"/>
                          </a:rPr>
                          <m:t>(1+</m:t>
                        </m:r>
                        <m:r>
                          <a:rPr lang="es-ES" sz="1100" b="0" i="1">
                            <a:solidFill>
                              <a:schemeClr val="tx1"/>
                            </a:solidFill>
                            <a:effectLst/>
                            <a:latin typeface="Cambria Math" panose="02040503050406030204" pitchFamily="18" charset="0"/>
                            <a:ea typeface="+mn-ea"/>
                            <a:cs typeface="+mn-cs"/>
                          </a:rPr>
                          <m:t>𝑔</m:t>
                        </m:r>
                        <m:r>
                          <a:rPr lang="es-ES" sz="1100" b="0" i="1">
                            <a:solidFill>
                              <a:schemeClr val="tx1"/>
                            </a:solidFill>
                            <a:effectLst/>
                            <a:latin typeface="Cambria Math" panose="02040503050406030204" pitchFamily="18" charset="0"/>
                            <a:ea typeface="+mn-ea"/>
                            <a:cs typeface="+mn-cs"/>
                          </a:rPr>
                          <m:t>)</m:t>
                        </m:r>
                      </m:num>
                      <m:den>
                        <m:r>
                          <a:rPr lang="es-ES" sz="1100" b="0" i="1">
                            <a:latin typeface="Cambria Math" panose="02040503050406030204" pitchFamily="18" charset="0"/>
                          </a:rPr>
                          <m:t>𝑟</m:t>
                        </m:r>
                        <m:r>
                          <a:rPr lang="es-ES" sz="1100" b="0" i="1">
                            <a:latin typeface="Cambria Math" panose="02040503050406030204" pitchFamily="18" charset="0"/>
                          </a:rPr>
                          <m:t>−</m:t>
                        </m:r>
                        <m:r>
                          <a:rPr lang="es-ES" sz="1100" b="0" i="1">
                            <a:latin typeface="Cambria Math" panose="02040503050406030204" pitchFamily="18" charset="0"/>
                          </a:rPr>
                          <m:t>𝑔</m:t>
                        </m:r>
                      </m:den>
                    </m:f>
                  </m:oMath>
                </m:oMathPara>
              </a14:m>
              <a:endParaRPr lang="es-ES" sz="1100" b="0" i="1">
                <a:latin typeface="Cambria Math" panose="02040503050406030204" pitchFamily="18" charset="0"/>
              </a:endParaRPr>
            </a:p>
            <a:p>
              <a14:m>
                <m:oMathPara xmlns:m="http://schemas.openxmlformats.org/officeDocument/2006/math">
                  <m:oMathParaPr>
                    <m:jc m:val="centerGroup"/>
                  </m:oMathParaPr>
                  <m:oMath xmlns:m="http://schemas.openxmlformats.org/officeDocument/2006/math">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𝐸</m:t>
                            </m:r>
                          </m:e>
                          <m:sub>
                            <m:r>
                              <a:rPr lang="es-ES" sz="1100" b="0" i="1">
                                <a:latin typeface="Cambria Math" panose="02040503050406030204" pitchFamily="18" charset="0"/>
                              </a:rPr>
                              <m:t>0</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x-none" sz="1100">
                            <a:solidFill>
                              <a:schemeClr val="tx1"/>
                            </a:solidFill>
                            <a:effectLst/>
                            <a:latin typeface="Cambria Math" panose="02040503050406030204" pitchFamily="18" charset="0"/>
                            <a:ea typeface="+mn-ea"/>
                            <a:cs typeface="+mn-cs"/>
                          </a:rPr>
                          <m:t>𝜌</m:t>
                        </m:r>
                        <m:r>
                          <m:rPr>
                            <m:nor/>
                          </m:rPr>
                          <a:rPr lang="x-none" sz="1100">
                            <a:solidFill>
                              <a:schemeClr val="tx1"/>
                            </a:solidFill>
                            <a:effectLst/>
                            <a:latin typeface="+mn-lt"/>
                            <a:ea typeface="+mn-ea"/>
                            <a:cs typeface="+mn-cs"/>
                          </a:rPr>
                          <m:t> </m:t>
                        </m:r>
                        <m:r>
                          <a:rPr lang="es-ES" sz="1100" b="0" i="1">
                            <a:solidFill>
                              <a:schemeClr val="tx1"/>
                            </a:solidFill>
                            <a:effectLst/>
                            <a:latin typeface="Cambria Math" panose="02040503050406030204" pitchFamily="18" charset="0"/>
                            <a:ea typeface="+mn-ea"/>
                            <a:cs typeface="+mn-cs"/>
                          </a:rPr>
                          <m:t>(1+</m:t>
                        </m:r>
                        <m:r>
                          <a:rPr lang="es-ES" sz="1100" b="0" i="1">
                            <a:solidFill>
                              <a:schemeClr val="tx1"/>
                            </a:solidFill>
                            <a:effectLst/>
                            <a:latin typeface="Cambria Math" panose="02040503050406030204" pitchFamily="18" charset="0"/>
                            <a:ea typeface="+mn-ea"/>
                            <a:cs typeface="+mn-cs"/>
                          </a:rPr>
                          <m:t>𝑔</m:t>
                        </m:r>
                        <m:r>
                          <a:rPr lang="es-ES" sz="1100" b="0" i="1">
                            <a:solidFill>
                              <a:schemeClr val="tx1"/>
                            </a:solidFill>
                            <a:effectLst/>
                            <a:latin typeface="Cambria Math" panose="02040503050406030204" pitchFamily="18" charset="0"/>
                            <a:ea typeface="+mn-ea"/>
                            <a:cs typeface="+mn-cs"/>
                          </a:rPr>
                          <m:t>)</m:t>
                        </m:r>
                      </m:num>
                      <m:den>
                        <m:r>
                          <a:rPr lang="es-ES" sz="1100" b="0" i="1">
                            <a:latin typeface="Cambria Math" panose="02040503050406030204" pitchFamily="18" charset="0"/>
                          </a:rPr>
                          <m:t>𝑟</m:t>
                        </m:r>
                        <m:r>
                          <a:rPr lang="es-ES" sz="1100" b="0" i="1">
                            <a:latin typeface="Cambria Math" panose="02040503050406030204" pitchFamily="18" charset="0"/>
                          </a:rPr>
                          <m:t>−</m:t>
                        </m:r>
                        <m:r>
                          <a:rPr lang="es-ES" sz="1100" b="0" i="1">
                            <a:latin typeface="Cambria Math" panose="02040503050406030204" pitchFamily="18" charset="0"/>
                          </a:rPr>
                          <m:t>𝑔</m:t>
                        </m:r>
                      </m:den>
                    </m:f>
                  </m:oMath>
                </m:oMathPara>
              </a14:m>
              <a:endParaRPr lang="es-ES" sz="1100" b="0"/>
            </a:p>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𝐸</m:t>
                            </m:r>
                          </m:e>
                          <m:sub>
                            <m:r>
                              <a:rPr lang="es-ES" sz="1100" b="0" i="1">
                                <a:latin typeface="Cambria Math" panose="02040503050406030204" pitchFamily="18" charset="0"/>
                              </a:rPr>
                              <m:t>1</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x-none" sz="1100">
                            <a:solidFill>
                              <a:schemeClr val="tx1"/>
                            </a:solidFill>
                            <a:effectLst/>
                            <a:latin typeface="Cambria Math" panose="02040503050406030204" pitchFamily="18" charset="0"/>
                            <a:ea typeface="+mn-ea"/>
                            <a:cs typeface="+mn-cs"/>
                          </a:rPr>
                          <m:t>𝜌</m:t>
                        </m:r>
                        <m:r>
                          <m:rPr>
                            <m:nor/>
                          </m:rPr>
                          <a:rPr lang="x-none" sz="1100">
                            <a:solidFill>
                              <a:schemeClr val="tx1"/>
                            </a:solidFill>
                            <a:effectLst/>
                            <a:latin typeface="+mn-lt"/>
                            <a:ea typeface="+mn-ea"/>
                            <a:cs typeface="+mn-cs"/>
                          </a:rPr>
                          <m:t> </m:t>
                        </m:r>
                      </m:num>
                      <m:den>
                        <m:r>
                          <a:rPr lang="es-ES" sz="1100" b="0" i="1">
                            <a:latin typeface="Cambria Math" panose="02040503050406030204" pitchFamily="18" charset="0"/>
                          </a:rPr>
                          <m:t>𝑟</m:t>
                        </m:r>
                        <m:r>
                          <a:rPr lang="es-ES" sz="1100" b="0" i="1">
                            <a:latin typeface="Cambria Math" panose="02040503050406030204" pitchFamily="18" charset="0"/>
                          </a:rPr>
                          <m:t>−</m:t>
                        </m:r>
                        <m:r>
                          <a:rPr lang="es-ES" sz="1100" b="0" i="1">
                            <a:latin typeface="Cambria Math" panose="02040503050406030204" pitchFamily="18" charset="0"/>
                          </a:rPr>
                          <m:t>𝑔</m:t>
                        </m:r>
                      </m:den>
                    </m:f>
                  </m:oMath>
                </m:oMathPara>
              </a14:m>
              <a:endParaRPr lang="es-ES" sz="1100" b="0"/>
            </a:p>
            <a:p>
              <a:endParaRPr lang="es-ES" sz="1100" b="0"/>
            </a:p>
          </xdr:txBody>
        </xdr:sp>
      </mc:Choice>
      <mc:Fallback>
        <xdr:sp macro="" textlink="">
          <xdr:nvSpPr>
            <xdr:cNvPr id="2" name="TextBox 1">
              <a:extLst>
                <a:ext uri="{FF2B5EF4-FFF2-40B4-BE49-F238E27FC236}">
                  <a16:creationId xmlns:a16="http://schemas.microsoft.com/office/drawing/2014/main" id="{F79D18BE-3C59-27FC-2474-97AFCEFDC7B6}"/>
                </a:ext>
              </a:extLst>
            </xdr:cNvPr>
            <xdr:cNvSpPr txBox="1"/>
          </xdr:nvSpPr>
          <xdr:spPr>
            <a:xfrm>
              <a:off x="166518" y="273682"/>
              <a:ext cx="1591782" cy="122835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ES" sz="1100" b="0" i="0">
                  <a:latin typeface="Cambria Math" panose="02040503050406030204" pitchFamily="18" charset="0"/>
                </a:rPr>
                <a:t>𝑃=(𝐷𝑃𝑆_1)/(𝑟−𝑔)=(𝐸_0  </a:t>
              </a:r>
              <a:r>
                <a:rPr lang="x-none" sz="1100" i="0">
                  <a:solidFill>
                    <a:schemeClr val="tx1"/>
                  </a:solidFill>
                  <a:effectLst/>
                  <a:latin typeface="+mn-lt"/>
                  <a:ea typeface="+mn-ea"/>
                  <a:cs typeface="+mn-cs"/>
                </a:rPr>
                <a:t>𝜌" </a:t>
              </a:r>
              <a:r>
                <a:rPr lang="es-ES" sz="1100" b="0" i="0">
                  <a:solidFill>
                    <a:schemeClr val="tx1"/>
                  </a:solidFill>
                  <a:effectLst/>
                  <a:latin typeface="Cambria Math" panose="02040503050406030204" pitchFamily="18" charset="0"/>
                  <a:ea typeface="+mn-ea"/>
                  <a:cs typeface="+mn-cs"/>
                </a:rPr>
                <a:t>" (1+𝑔))/(</a:t>
              </a:r>
              <a:r>
                <a:rPr lang="es-ES" sz="1100" b="0" i="0">
                  <a:latin typeface="Cambria Math" panose="02040503050406030204" pitchFamily="18" charset="0"/>
                </a:rPr>
                <a:t>𝑟−𝑔)</a:t>
              </a:r>
              <a:endParaRPr lang="es-ES" sz="1100" b="0" i="1">
                <a:latin typeface="Cambria Math" panose="02040503050406030204" pitchFamily="18" charset="0"/>
              </a:endParaRPr>
            </a:p>
            <a:p>
              <a:r>
                <a:rPr lang="es-ES" sz="1100" b="0" i="0">
                  <a:latin typeface="Cambria Math" panose="02040503050406030204" pitchFamily="18" charset="0"/>
                </a:rPr>
                <a:t>𝑃/𝐸_0 =(</a:t>
              </a:r>
              <a:r>
                <a:rPr lang="x-none" sz="1100" i="0">
                  <a:solidFill>
                    <a:schemeClr val="tx1"/>
                  </a:solidFill>
                  <a:effectLst/>
                  <a:latin typeface="Cambria Math" panose="02040503050406030204" pitchFamily="18" charset="0"/>
                  <a:ea typeface="+mn-ea"/>
                  <a:cs typeface="+mn-cs"/>
                </a:rPr>
                <a:t>𝜌</a:t>
              </a:r>
              <a:r>
                <a:rPr lang="x-none" sz="1100" i="0">
                  <a:solidFill>
                    <a:schemeClr val="tx1"/>
                  </a:solidFill>
                  <a:effectLst/>
                  <a:latin typeface="+mn-lt"/>
                  <a:ea typeface="+mn-ea"/>
                  <a:cs typeface="+mn-cs"/>
                </a:rPr>
                <a:t>" </a:t>
              </a:r>
              <a:r>
                <a:rPr lang="es-ES" sz="1100" b="0" i="0">
                  <a:solidFill>
                    <a:schemeClr val="tx1"/>
                  </a:solidFill>
                  <a:effectLst/>
                  <a:latin typeface="Cambria Math" panose="02040503050406030204" pitchFamily="18" charset="0"/>
                  <a:ea typeface="+mn-ea"/>
                  <a:cs typeface="+mn-cs"/>
                </a:rPr>
                <a:t>" (1+𝑔))/(</a:t>
              </a:r>
              <a:r>
                <a:rPr lang="es-ES" sz="1100" b="0" i="0">
                  <a:latin typeface="Cambria Math" panose="02040503050406030204" pitchFamily="18" charset="0"/>
                </a:rPr>
                <a:t>𝑟−𝑔)</a:t>
              </a:r>
              <a:endParaRPr lang="es-ES" sz="1100" b="0"/>
            </a:p>
            <a:p>
              <a:pPr marL="0" marR="0" lvl="0" indent="0" defTabSz="914400" eaLnBrk="1" fontAlgn="auto" latinLnBrk="0" hangingPunct="1">
                <a:lnSpc>
                  <a:spcPct val="100000"/>
                </a:lnSpc>
                <a:spcBef>
                  <a:spcPts val="0"/>
                </a:spcBef>
                <a:spcAft>
                  <a:spcPts val="0"/>
                </a:spcAft>
                <a:buClrTx/>
                <a:buSzTx/>
                <a:buFontTx/>
                <a:buNone/>
                <a:tabLst/>
                <a:defRPr/>
              </a:pPr>
              <a:r>
                <a:rPr lang="es-ES" sz="1100" b="0" i="0">
                  <a:latin typeface="Cambria Math" panose="02040503050406030204" pitchFamily="18" charset="0"/>
                </a:rPr>
                <a:t>𝑃/𝐸_1 =</a:t>
              </a:r>
              <a:r>
                <a:rPr lang="x-none" sz="1100" i="0">
                  <a:solidFill>
                    <a:schemeClr val="tx1"/>
                  </a:solidFill>
                  <a:effectLst/>
                  <a:latin typeface="Cambria Math" panose="02040503050406030204" pitchFamily="18" charset="0"/>
                  <a:ea typeface="+mn-ea"/>
                  <a:cs typeface="+mn-cs"/>
                </a:rPr>
                <a:t>𝜌</a:t>
              </a:r>
              <a:r>
                <a:rPr lang="x-none" sz="1100" i="0">
                  <a:solidFill>
                    <a:schemeClr val="tx1"/>
                  </a:solidFill>
                  <a:effectLst/>
                  <a:latin typeface="+mn-lt"/>
                  <a:ea typeface="+mn-ea"/>
                  <a:cs typeface="+mn-cs"/>
                </a:rPr>
                <a:t>" </a:t>
              </a:r>
              <a:r>
                <a:rPr lang="es-ES" sz="1100" b="0" i="0">
                  <a:solidFill>
                    <a:schemeClr val="tx1"/>
                  </a:solidFill>
                  <a:effectLst/>
                  <a:latin typeface="Cambria Math" panose="02040503050406030204" pitchFamily="18" charset="0"/>
                  <a:ea typeface="+mn-ea"/>
                  <a:cs typeface="+mn-cs"/>
                </a:rPr>
                <a:t>" /(</a:t>
              </a:r>
              <a:r>
                <a:rPr lang="es-ES" sz="1100" b="0" i="0">
                  <a:latin typeface="Cambria Math" panose="02040503050406030204" pitchFamily="18" charset="0"/>
                </a:rPr>
                <a:t>𝑟−𝑔)</a:t>
              </a:r>
              <a:endParaRPr lang="es-ES" sz="1100" b="0"/>
            </a:p>
            <a:p>
              <a:endParaRPr lang="es-ES" sz="1100" b="0"/>
            </a:p>
          </xdr:txBody>
        </xdr:sp>
      </mc:Fallback>
    </mc:AlternateContent>
    <xdr:clientData/>
  </xdr:oneCellAnchor>
  <xdr:oneCellAnchor>
    <xdr:from>
      <xdr:col>0</xdr:col>
      <xdr:colOff>703613</xdr:colOff>
      <xdr:row>7</xdr:row>
      <xdr:rowOff>157686</xdr:rowOff>
    </xdr:from>
    <xdr:ext cx="2290368" cy="1321900"/>
    <mc:AlternateContent xmlns:mc="http://schemas.openxmlformats.org/markup-compatibility/2006">
      <mc:Choice xmlns:a14="http://schemas.microsoft.com/office/drawing/2010/main" Requires="a14">
        <xdr:sp macro="" textlink="">
          <xdr:nvSpPr>
            <xdr:cNvPr id="3" name="TextBox 2">
              <a:extLst>
                <a:ext uri="{FF2B5EF4-FFF2-40B4-BE49-F238E27FC236}">
                  <a16:creationId xmlns:a16="http://schemas.microsoft.com/office/drawing/2014/main" id="{D4B936DC-49E4-546B-57B9-D26CC00DA40B}"/>
                </a:ext>
              </a:extLst>
            </xdr:cNvPr>
            <xdr:cNvSpPr txBox="1"/>
          </xdr:nvSpPr>
          <xdr:spPr>
            <a:xfrm>
              <a:off x="703613" y="1565605"/>
              <a:ext cx="2290368" cy="1321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14:m>
                <m:oMathPara xmlns:m="http://schemas.openxmlformats.org/officeDocument/2006/math">
                  <m:oMathParaPr>
                    <m:jc m:val="centerGroup"/>
                  </m:oMathParaPr>
                  <m:oMath xmlns:m="http://schemas.openxmlformats.org/officeDocument/2006/math">
                    <m:r>
                      <a:rPr lang="es-ES" sz="1100" b="0" i="1">
                        <a:latin typeface="Cambria Math" panose="02040503050406030204" pitchFamily="18" charset="0"/>
                      </a:rPr>
                      <m:t>𝑃𝑅𝐼𝐶𝐸</m:t>
                    </m:r>
                    <m:r>
                      <a:rPr lang="es-ES" sz="1100" b="0" i="1">
                        <a:latin typeface="Cambria Math" panose="02040503050406030204" pitchFamily="18" charset="0"/>
                      </a:rPr>
                      <m:t> </m:t>
                    </m:r>
                    <m:r>
                      <a:rPr lang="es-ES" sz="1100" b="0" i="1">
                        <a:latin typeface="Cambria Math" panose="02040503050406030204" pitchFamily="18" charset="0"/>
                      </a:rPr>
                      <m:t>𝑇𝑂</m:t>
                    </m:r>
                    <m:r>
                      <a:rPr lang="es-ES" sz="1100" b="0" i="1">
                        <a:latin typeface="Cambria Math" panose="02040503050406030204" pitchFamily="18" charset="0"/>
                      </a:rPr>
                      <m:t> </m:t>
                    </m:r>
                    <m:r>
                      <a:rPr lang="es-ES" sz="1100" b="0" i="1">
                        <a:latin typeface="Cambria Math" panose="02040503050406030204" pitchFamily="18" charset="0"/>
                      </a:rPr>
                      <m:t>𝐵𝑂𝑂𝐾</m:t>
                    </m:r>
                  </m:oMath>
                  <m:oMath xmlns:m="http://schemas.openxmlformats.org/officeDocument/2006/math">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r>
                          <a:rPr lang="es-ES" sz="1100" b="0" i="1">
                            <a:latin typeface="Cambria Math" panose="02040503050406030204" pitchFamily="18" charset="0"/>
                          </a:rPr>
                          <m:t>𝐵</m:t>
                        </m:r>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𝐸</m:t>
                        </m:r>
                      </m:num>
                      <m:den>
                        <m:r>
                          <a:rPr lang="es-ES" sz="1100" b="0" i="1">
                            <a:latin typeface="Cambria Math" panose="02040503050406030204" pitchFamily="18" charset="0"/>
                          </a:rPr>
                          <m:t>𝐸</m:t>
                        </m:r>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𝐸</m:t>
                            </m:r>
                          </m:e>
                          <m:sub>
                            <m:r>
                              <a:rPr lang="es-ES" sz="1100" b="0" i="1">
                                <a:latin typeface="Cambria Math" panose="02040503050406030204" pitchFamily="18" charset="0"/>
                              </a:rPr>
                              <m:t>0</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sSub>
                          <m:sSubPr>
                            <m:ctrlPr>
                              <a:rPr lang="es-ES" sz="1100" b="0" i="1">
                                <a:latin typeface="Cambria Math" panose="02040503050406030204" pitchFamily="18" charset="0"/>
                              </a:rPr>
                            </m:ctrlPr>
                          </m:sSubPr>
                          <m:e>
                            <m:r>
                              <a:rPr lang="es-ES" sz="1100" b="0" i="1">
                                <a:latin typeface="Cambria Math" panose="02040503050406030204" pitchFamily="18" charset="0"/>
                              </a:rPr>
                              <m:t>𝐸</m:t>
                            </m:r>
                          </m:e>
                          <m:sub>
                            <m:r>
                              <a:rPr lang="es-ES" sz="1100" b="0" i="1">
                                <a:latin typeface="Cambria Math" panose="02040503050406030204" pitchFamily="18" charset="0"/>
                              </a:rPr>
                              <m:t>0</m:t>
                            </m:r>
                          </m:sub>
                        </m:sSub>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𝐵</m:t>
                            </m:r>
                          </m:e>
                          <m:sub>
                            <m:r>
                              <a:rPr lang="es-ES" sz="1100" b="0" i="1">
                                <a:latin typeface="Cambria Math" panose="02040503050406030204" pitchFamily="18" charset="0"/>
                              </a:rPr>
                              <m:t>0</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x-none" sz="1100">
                            <a:solidFill>
                              <a:schemeClr val="tx1"/>
                            </a:solidFill>
                            <a:effectLst/>
                            <a:latin typeface="Cambria Math" panose="02040503050406030204" pitchFamily="18" charset="0"/>
                            <a:ea typeface="+mn-ea"/>
                            <a:cs typeface="+mn-cs"/>
                          </a:rPr>
                          <m:t>𝜌</m:t>
                        </m:r>
                        <m:r>
                          <m:rPr>
                            <m:nor/>
                          </m:rPr>
                          <a:rPr lang="x-none" sz="1100">
                            <a:solidFill>
                              <a:schemeClr val="tx1"/>
                            </a:solidFill>
                            <a:effectLst/>
                            <a:latin typeface="+mn-lt"/>
                            <a:ea typeface="+mn-ea"/>
                            <a:cs typeface="+mn-cs"/>
                          </a:rPr>
                          <m:t> </m:t>
                        </m:r>
                        <m:d>
                          <m:dPr>
                            <m:ctrlPr>
                              <a:rPr lang="es-ES" sz="1100" b="0" i="1">
                                <a:solidFill>
                                  <a:schemeClr val="tx1"/>
                                </a:solidFill>
                                <a:effectLst/>
                                <a:latin typeface="Cambria Math" panose="02040503050406030204" pitchFamily="18" charset="0"/>
                                <a:ea typeface="+mn-ea"/>
                                <a:cs typeface="+mn-cs"/>
                              </a:rPr>
                            </m:ctrlPr>
                          </m:dPr>
                          <m:e>
                            <m:r>
                              <a:rPr lang="es-ES" sz="1100" b="0" i="1">
                                <a:solidFill>
                                  <a:schemeClr val="tx1"/>
                                </a:solidFill>
                                <a:effectLst/>
                                <a:latin typeface="Cambria Math" panose="02040503050406030204" pitchFamily="18" charset="0"/>
                                <a:ea typeface="+mn-ea"/>
                                <a:cs typeface="+mn-cs"/>
                              </a:rPr>
                              <m:t>1+</m:t>
                            </m:r>
                            <m:r>
                              <a:rPr lang="es-ES" sz="1100" b="0" i="1">
                                <a:solidFill>
                                  <a:schemeClr val="tx1"/>
                                </a:solidFill>
                                <a:effectLst/>
                                <a:latin typeface="Cambria Math" panose="02040503050406030204" pitchFamily="18" charset="0"/>
                                <a:ea typeface="+mn-ea"/>
                                <a:cs typeface="+mn-cs"/>
                              </a:rPr>
                              <m:t>𝑔</m:t>
                            </m:r>
                          </m:e>
                        </m:d>
                      </m:num>
                      <m:den>
                        <m:r>
                          <a:rPr lang="es-ES" sz="1100" b="0" i="1">
                            <a:latin typeface="Cambria Math" panose="02040503050406030204" pitchFamily="18" charset="0"/>
                          </a:rPr>
                          <m:t>𝑟</m:t>
                        </m:r>
                        <m:r>
                          <a:rPr lang="es-ES" sz="1100" b="0" i="1">
                            <a:latin typeface="Cambria Math" panose="02040503050406030204" pitchFamily="18" charset="0"/>
                          </a:rPr>
                          <m:t>−</m:t>
                        </m:r>
                        <m:r>
                          <a:rPr lang="es-ES" sz="1100" b="0" i="1">
                            <a:latin typeface="Cambria Math" panose="02040503050406030204" pitchFamily="18" charset="0"/>
                          </a:rPr>
                          <m:t>𝑔</m:t>
                        </m:r>
                      </m:den>
                    </m:f>
                    <m:r>
                      <a:rPr lang="es-ES" sz="1100" b="0" i="1">
                        <a:latin typeface="Cambria Math" panose="02040503050406030204" pitchFamily="18" charset="0"/>
                      </a:rPr>
                      <m:t>∗</m:t>
                    </m:r>
                    <m:f>
                      <m:fPr>
                        <m:ctrlPr>
                          <a:rPr lang="es-ES" sz="1100" b="0" i="1">
                            <a:latin typeface="Cambria Math" panose="02040503050406030204" pitchFamily="18" charset="0"/>
                          </a:rPr>
                        </m:ctrlPr>
                      </m:fPr>
                      <m:num>
                        <m:sSub>
                          <m:sSubPr>
                            <m:ctrlPr>
                              <a:rPr lang="es-ES" sz="1100" b="0" i="1">
                                <a:latin typeface="Cambria Math" panose="02040503050406030204" pitchFamily="18" charset="0"/>
                              </a:rPr>
                            </m:ctrlPr>
                          </m:sSubPr>
                          <m:e>
                            <m:r>
                              <a:rPr lang="es-ES" sz="1100" b="0" i="1">
                                <a:latin typeface="Cambria Math" panose="02040503050406030204" pitchFamily="18" charset="0"/>
                              </a:rPr>
                              <m:t>𝐸</m:t>
                            </m:r>
                          </m:e>
                          <m:sub>
                            <m:r>
                              <a:rPr lang="es-ES" sz="1100" b="0" i="1">
                                <a:latin typeface="Cambria Math" panose="02040503050406030204" pitchFamily="18" charset="0"/>
                              </a:rPr>
                              <m:t>0</m:t>
                            </m:r>
                          </m:sub>
                        </m:sSub>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𝐵</m:t>
                            </m:r>
                          </m:e>
                          <m:sub>
                            <m:r>
                              <a:rPr lang="es-ES" sz="1100" b="0" i="1">
                                <a:latin typeface="Cambria Math" panose="02040503050406030204" pitchFamily="18" charset="0"/>
                              </a:rPr>
                              <m:t>0</m:t>
                            </m:r>
                          </m:sub>
                        </m:sSub>
                      </m:den>
                    </m:f>
                  </m:oMath>
                </m:oMathPara>
              </a14:m>
              <a:endParaRPr lang="es-ES" sz="1100" b="0"/>
            </a:p>
            <a:p>
              <a14:m>
                <m:oMath xmlns:m="http://schemas.openxmlformats.org/officeDocument/2006/math">
                  <m:f>
                    <m:fPr>
                      <m:ctrlPr>
                        <a:rPr lang="es-ES" sz="1100" b="0" i="1">
                          <a:latin typeface="Cambria Math" panose="02040503050406030204" pitchFamily="18" charset="0"/>
                        </a:rPr>
                      </m:ctrlPr>
                    </m:fPr>
                    <m:num>
                      <m:sSub>
                        <m:sSubPr>
                          <m:ctrlPr>
                            <a:rPr lang="es-ES" sz="1100" b="0" i="1">
                              <a:latin typeface="Cambria Math" panose="02040503050406030204" pitchFamily="18" charset="0"/>
                            </a:rPr>
                          </m:ctrlPr>
                        </m:sSubPr>
                        <m:e>
                          <m:r>
                            <a:rPr lang="es-ES" sz="1100" b="0" i="1">
                              <a:latin typeface="Cambria Math" panose="02040503050406030204" pitchFamily="18" charset="0"/>
                            </a:rPr>
                            <m:t>𝐸</m:t>
                          </m:r>
                        </m:e>
                        <m:sub>
                          <m:r>
                            <a:rPr lang="es-ES" sz="1100" b="0" i="1">
                              <a:latin typeface="Cambria Math" panose="02040503050406030204" pitchFamily="18" charset="0"/>
                            </a:rPr>
                            <m:t>0</m:t>
                          </m:r>
                        </m:sub>
                      </m:sSub>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𝐵</m:t>
                          </m:r>
                        </m:e>
                        <m:sub>
                          <m:r>
                            <a:rPr lang="es-ES" sz="1100" b="0" i="1">
                              <a:latin typeface="Cambria Math" panose="02040503050406030204" pitchFamily="18" charset="0"/>
                            </a:rPr>
                            <m:t>0</m:t>
                          </m:r>
                        </m:sub>
                      </m:sSub>
                    </m:den>
                  </m:f>
                  <m:r>
                    <a:rPr lang="es-ES" sz="1100" b="0" i="1">
                      <a:latin typeface="Cambria Math" panose="02040503050406030204" pitchFamily="18" charset="0"/>
                    </a:rPr>
                    <m:t>=</m:t>
                  </m:r>
                  <m:r>
                    <a:rPr lang="es-ES" sz="1100" b="0" i="1">
                      <a:latin typeface="Cambria Math" panose="02040503050406030204" pitchFamily="18" charset="0"/>
                    </a:rPr>
                    <m:t>𝑅𝑂𝐸</m:t>
                  </m:r>
                </m:oMath>
              </a14:m>
              <a:r>
                <a:rPr lang="en-US" sz="1100"/>
                <a:t>!!!!</a:t>
              </a:r>
            </a:p>
            <a:p>
              <a14:m>
                <m:oMathPara xmlns:m="http://schemas.openxmlformats.org/officeDocument/2006/math">
                  <m:oMathParaPr>
                    <m:jc m:val="centerGroup"/>
                  </m:oMathParaPr>
                  <m:oMath xmlns:m="http://schemas.openxmlformats.org/officeDocument/2006/math">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r>
                          <a:rPr lang="es-ES" sz="1100" b="0" i="1">
                            <a:latin typeface="Cambria Math" panose="02040503050406030204" pitchFamily="18" charset="0"/>
                          </a:rPr>
                          <m:t>𝐵</m:t>
                        </m:r>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𝐸</m:t>
                        </m:r>
                      </m:num>
                      <m:den>
                        <m:r>
                          <a:rPr lang="es-ES" sz="1100" b="0" i="1">
                            <a:latin typeface="Cambria Math" panose="02040503050406030204" pitchFamily="18" charset="0"/>
                          </a:rPr>
                          <m:t>𝐸</m:t>
                        </m:r>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𝐸</m:t>
                            </m:r>
                          </m:e>
                          <m:sub>
                            <m:r>
                              <a:rPr lang="es-ES" sz="1100" b="0" i="1">
                                <a:latin typeface="Cambria Math" panose="02040503050406030204" pitchFamily="18" charset="0"/>
                              </a:rPr>
                              <m:t>0</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sSub>
                          <m:sSubPr>
                            <m:ctrlPr>
                              <a:rPr lang="es-ES" sz="1100" b="0" i="1">
                                <a:latin typeface="Cambria Math" panose="02040503050406030204" pitchFamily="18" charset="0"/>
                              </a:rPr>
                            </m:ctrlPr>
                          </m:sSubPr>
                          <m:e>
                            <m:r>
                              <a:rPr lang="es-ES" sz="1100" b="0" i="1">
                                <a:latin typeface="Cambria Math" panose="02040503050406030204" pitchFamily="18" charset="0"/>
                              </a:rPr>
                              <m:t>𝐸</m:t>
                            </m:r>
                          </m:e>
                          <m:sub>
                            <m:r>
                              <a:rPr lang="es-ES" sz="1100" b="0" i="1">
                                <a:latin typeface="Cambria Math" panose="02040503050406030204" pitchFamily="18" charset="0"/>
                              </a:rPr>
                              <m:t>0</m:t>
                            </m:r>
                          </m:sub>
                        </m:sSub>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𝐵</m:t>
                            </m:r>
                          </m:e>
                          <m:sub>
                            <m:r>
                              <a:rPr lang="es-ES" sz="1100" b="0" i="1">
                                <a:latin typeface="Cambria Math" panose="02040503050406030204" pitchFamily="18" charset="0"/>
                              </a:rPr>
                              <m:t>0</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x-none" sz="1100">
                            <a:solidFill>
                              <a:schemeClr val="tx1"/>
                            </a:solidFill>
                            <a:effectLst/>
                            <a:latin typeface="Cambria Math" panose="02040503050406030204" pitchFamily="18" charset="0"/>
                            <a:ea typeface="+mn-ea"/>
                            <a:cs typeface="+mn-cs"/>
                          </a:rPr>
                          <m:t>𝜌</m:t>
                        </m:r>
                        <m:r>
                          <m:rPr>
                            <m:nor/>
                          </m:rPr>
                          <a:rPr lang="x-none" sz="1100">
                            <a:solidFill>
                              <a:schemeClr val="tx1"/>
                            </a:solidFill>
                            <a:effectLst/>
                            <a:latin typeface="+mn-lt"/>
                            <a:ea typeface="+mn-ea"/>
                            <a:cs typeface="+mn-cs"/>
                          </a:rPr>
                          <m:t> </m:t>
                        </m:r>
                        <m:d>
                          <m:dPr>
                            <m:ctrlPr>
                              <a:rPr lang="es-ES" sz="1100" b="0" i="1">
                                <a:solidFill>
                                  <a:schemeClr val="tx1"/>
                                </a:solidFill>
                                <a:effectLst/>
                                <a:latin typeface="Cambria Math" panose="02040503050406030204" pitchFamily="18" charset="0"/>
                                <a:ea typeface="+mn-ea"/>
                                <a:cs typeface="+mn-cs"/>
                              </a:rPr>
                            </m:ctrlPr>
                          </m:dPr>
                          <m:e>
                            <m:r>
                              <a:rPr lang="es-ES" sz="1100" b="0" i="1">
                                <a:solidFill>
                                  <a:schemeClr val="tx1"/>
                                </a:solidFill>
                                <a:effectLst/>
                                <a:latin typeface="Cambria Math" panose="02040503050406030204" pitchFamily="18" charset="0"/>
                                <a:ea typeface="+mn-ea"/>
                                <a:cs typeface="+mn-cs"/>
                              </a:rPr>
                              <m:t>1+</m:t>
                            </m:r>
                            <m:r>
                              <a:rPr lang="es-ES" sz="1100" b="0" i="1">
                                <a:solidFill>
                                  <a:schemeClr val="tx1"/>
                                </a:solidFill>
                                <a:effectLst/>
                                <a:latin typeface="Cambria Math" panose="02040503050406030204" pitchFamily="18" charset="0"/>
                                <a:ea typeface="+mn-ea"/>
                                <a:cs typeface="+mn-cs"/>
                              </a:rPr>
                              <m:t>𝑔</m:t>
                            </m:r>
                          </m:e>
                        </m:d>
                      </m:num>
                      <m:den>
                        <m:r>
                          <a:rPr lang="es-ES" sz="1100" b="0" i="1">
                            <a:latin typeface="Cambria Math" panose="02040503050406030204" pitchFamily="18" charset="0"/>
                          </a:rPr>
                          <m:t>𝑟</m:t>
                        </m:r>
                        <m:r>
                          <a:rPr lang="es-ES" sz="1100" b="0" i="1">
                            <a:latin typeface="Cambria Math" panose="02040503050406030204" pitchFamily="18" charset="0"/>
                          </a:rPr>
                          <m:t>−</m:t>
                        </m:r>
                        <m:r>
                          <a:rPr lang="es-ES" sz="1100" b="0" i="1">
                            <a:latin typeface="Cambria Math" panose="02040503050406030204" pitchFamily="18" charset="0"/>
                          </a:rPr>
                          <m:t>𝑔</m:t>
                        </m:r>
                      </m:den>
                    </m:f>
                    <m:r>
                      <a:rPr lang="es-ES" sz="1100" b="0" i="1">
                        <a:latin typeface="Cambria Math" panose="02040503050406030204" pitchFamily="18" charset="0"/>
                      </a:rPr>
                      <m:t>∗</m:t>
                    </m:r>
                    <m:r>
                      <m:rPr>
                        <m:sty m:val="p"/>
                      </m:rPr>
                      <a:rPr lang="es-ES" sz="1100" b="0" i="0">
                        <a:latin typeface="Cambria Math" panose="02040503050406030204" pitchFamily="18" charset="0"/>
                      </a:rPr>
                      <m:t>ROE</m:t>
                    </m:r>
                  </m:oMath>
                </m:oMathPara>
              </a14:m>
              <a:endParaRPr lang="en-US" sz="1100"/>
            </a:p>
            <a:p>
              <a:endParaRPr lang="en-US" sz="1100"/>
            </a:p>
          </xdr:txBody>
        </xdr:sp>
      </mc:Choice>
      <mc:Fallback>
        <xdr:sp macro="" textlink="">
          <xdr:nvSpPr>
            <xdr:cNvPr id="3" name="TextBox 2">
              <a:extLst>
                <a:ext uri="{FF2B5EF4-FFF2-40B4-BE49-F238E27FC236}">
                  <a16:creationId xmlns:a16="http://schemas.microsoft.com/office/drawing/2014/main" id="{D4B936DC-49E4-546B-57B9-D26CC00DA40B}"/>
                </a:ext>
              </a:extLst>
            </xdr:cNvPr>
            <xdr:cNvSpPr txBox="1"/>
          </xdr:nvSpPr>
          <xdr:spPr>
            <a:xfrm>
              <a:off x="703613" y="1565605"/>
              <a:ext cx="2290368" cy="1321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lIns="0" tIns="0" rIns="0" bIns="0" rtlCol="0" anchor="t">
              <a:spAutoFit/>
            </a:bodyPr>
            <a:lstStyle/>
            <a:p>
              <a:r>
                <a:rPr lang="es-ES" sz="1100" b="0" i="0">
                  <a:latin typeface="Cambria Math" panose="02040503050406030204" pitchFamily="18" charset="0"/>
                </a:rPr>
                <a:t>𝑃𝑅𝐼𝐶𝐸 𝑇𝑂 𝐵𝑂𝑂𝐾</a:t>
              </a:r>
              <a:br>
                <a:rPr lang="es-ES" sz="1100" b="0"/>
              </a:br>
              <a:r>
                <a:rPr lang="es-ES" sz="1100" b="0" i="0">
                  <a:latin typeface="Cambria Math" panose="02040503050406030204" pitchFamily="18" charset="0"/>
                </a:rPr>
                <a:t>𝑃/𝐵∗𝐸/𝐸=𝑃/𝐸_0 ∗𝐸_0/𝐵_0 =</a:t>
              </a:r>
              <a:r>
                <a:rPr lang="x-none" sz="1100" i="0">
                  <a:solidFill>
                    <a:schemeClr val="tx1"/>
                  </a:solidFill>
                  <a:effectLst/>
                  <a:latin typeface="Cambria Math" panose="02040503050406030204" pitchFamily="18" charset="0"/>
                  <a:ea typeface="+mn-ea"/>
                  <a:cs typeface="+mn-cs"/>
                </a:rPr>
                <a:t>𝜌</a:t>
              </a:r>
              <a:r>
                <a:rPr lang="x-none" sz="1100" i="0">
                  <a:solidFill>
                    <a:schemeClr val="tx1"/>
                  </a:solidFill>
                  <a:effectLst/>
                  <a:latin typeface="+mn-lt"/>
                  <a:ea typeface="+mn-ea"/>
                  <a:cs typeface="+mn-cs"/>
                </a:rPr>
                <a:t>" </a:t>
              </a:r>
              <a:r>
                <a:rPr lang="es-ES" sz="1100" b="0" i="0">
                  <a:solidFill>
                    <a:schemeClr val="tx1"/>
                  </a:solidFill>
                  <a:effectLst/>
                  <a:latin typeface="Cambria Math" panose="02040503050406030204" pitchFamily="18" charset="0"/>
                  <a:ea typeface="+mn-ea"/>
                  <a:cs typeface="+mn-cs"/>
                </a:rPr>
                <a:t>" (1+𝑔)/(</a:t>
              </a:r>
              <a:r>
                <a:rPr lang="es-ES" sz="1100" b="0" i="0">
                  <a:latin typeface="Cambria Math" panose="02040503050406030204" pitchFamily="18" charset="0"/>
                </a:rPr>
                <a:t>𝑟−𝑔)∗𝐸_0/𝐵_0 </a:t>
              </a:r>
              <a:endParaRPr lang="es-ES" sz="1100" b="0"/>
            </a:p>
            <a:p>
              <a:r>
                <a:rPr lang="es-ES" sz="1100" b="0" i="0">
                  <a:latin typeface="Cambria Math" panose="02040503050406030204" pitchFamily="18" charset="0"/>
                </a:rPr>
                <a:t>𝐸_0/𝐵_0 =𝑅𝑂𝐸</a:t>
              </a:r>
              <a:r>
                <a:rPr lang="en-US" sz="1100"/>
                <a:t>!!!!</a:t>
              </a:r>
            </a:p>
            <a:p>
              <a:r>
                <a:rPr lang="es-ES" sz="1100" b="0" i="0">
                  <a:latin typeface="Cambria Math" panose="02040503050406030204" pitchFamily="18" charset="0"/>
                </a:rPr>
                <a:t>𝑃/𝐵∗𝐸/𝐸=𝑃/𝐸_0 ∗𝐸_0/𝐵_0 =</a:t>
              </a:r>
              <a:r>
                <a:rPr lang="x-none" sz="1100" i="0">
                  <a:solidFill>
                    <a:schemeClr val="tx1"/>
                  </a:solidFill>
                  <a:effectLst/>
                  <a:latin typeface="Cambria Math" panose="02040503050406030204" pitchFamily="18" charset="0"/>
                  <a:ea typeface="+mn-ea"/>
                  <a:cs typeface="+mn-cs"/>
                </a:rPr>
                <a:t>𝜌</a:t>
              </a:r>
              <a:r>
                <a:rPr lang="x-none" sz="1100" i="0">
                  <a:solidFill>
                    <a:schemeClr val="tx1"/>
                  </a:solidFill>
                  <a:effectLst/>
                  <a:latin typeface="+mn-lt"/>
                  <a:ea typeface="+mn-ea"/>
                  <a:cs typeface="+mn-cs"/>
                </a:rPr>
                <a:t>" </a:t>
              </a:r>
              <a:r>
                <a:rPr lang="es-ES" sz="1100" b="0" i="0">
                  <a:solidFill>
                    <a:schemeClr val="tx1"/>
                  </a:solidFill>
                  <a:effectLst/>
                  <a:latin typeface="Cambria Math" panose="02040503050406030204" pitchFamily="18" charset="0"/>
                  <a:ea typeface="+mn-ea"/>
                  <a:cs typeface="+mn-cs"/>
                </a:rPr>
                <a:t>" (1+𝑔)/(</a:t>
              </a:r>
              <a:r>
                <a:rPr lang="es-ES" sz="1100" b="0" i="0">
                  <a:latin typeface="Cambria Math" panose="02040503050406030204" pitchFamily="18" charset="0"/>
                </a:rPr>
                <a:t>𝑟−𝑔)∗ROE</a:t>
              </a:r>
              <a:endParaRPr lang="en-US" sz="1100"/>
            </a:p>
            <a:p>
              <a:endParaRPr lang="en-US" sz="1100"/>
            </a:p>
          </xdr:txBody>
        </xdr:sp>
      </mc:Fallback>
    </mc:AlternateContent>
    <xdr:clientData/>
  </xdr:oneCellAnchor>
  <xdr:oneCellAnchor>
    <xdr:from>
      <xdr:col>0</xdr:col>
      <xdr:colOff>577188</xdr:colOff>
      <xdr:row>15</xdr:row>
      <xdr:rowOff>59995</xdr:rowOff>
    </xdr:from>
    <xdr:ext cx="1300228" cy="888448"/>
    <mc:AlternateContent xmlns:mc="http://schemas.openxmlformats.org/markup-compatibility/2006">
      <mc:Choice xmlns:a14="http://schemas.microsoft.com/office/drawing/2010/main" Requires="a14">
        <xdr:sp macro="" textlink="">
          <xdr:nvSpPr>
            <xdr:cNvPr id="4" name="TextBox 3">
              <a:extLst>
                <a:ext uri="{FF2B5EF4-FFF2-40B4-BE49-F238E27FC236}">
                  <a16:creationId xmlns:a16="http://schemas.microsoft.com/office/drawing/2014/main" id="{982665D9-8F8F-7817-4435-EC64CD27E992}"/>
                </a:ext>
              </a:extLst>
            </xdr:cNvPr>
            <xdr:cNvSpPr txBox="1"/>
          </xdr:nvSpPr>
          <xdr:spPr>
            <a:xfrm>
              <a:off x="577188" y="3076963"/>
              <a:ext cx="1300228" cy="888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Para xmlns:m="http://schemas.openxmlformats.org/officeDocument/2006/math">
                  <m:oMathParaPr>
                    <m:jc m:val="centerGroup"/>
                  </m:oMathParaPr>
                  <m:oMath xmlns:m="http://schemas.openxmlformats.org/officeDocument/2006/math">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𝐵</m:t>
                            </m:r>
                          </m:e>
                          <m:sub>
                            <m:r>
                              <a:rPr lang="es-ES" sz="1100" b="0" i="1">
                                <a:latin typeface="Cambria Math" panose="02040503050406030204" pitchFamily="18" charset="0"/>
                              </a:rPr>
                              <m:t>0</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x-none" sz="1100">
                            <a:solidFill>
                              <a:schemeClr val="tx1"/>
                            </a:solidFill>
                            <a:effectLst/>
                            <a:latin typeface="Cambria Math" panose="02040503050406030204" pitchFamily="18" charset="0"/>
                            <a:ea typeface="+mn-ea"/>
                            <a:cs typeface="+mn-cs"/>
                          </a:rPr>
                          <m:t>𝜌</m:t>
                        </m:r>
                        <m:r>
                          <m:rPr>
                            <m:nor/>
                          </m:rPr>
                          <a:rPr lang="x-none" sz="1100">
                            <a:solidFill>
                              <a:schemeClr val="tx1"/>
                            </a:solidFill>
                            <a:effectLst/>
                            <a:latin typeface="+mn-lt"/>
                            <a:ea typeface="+mn-ea"/>
                            <a:cs typeface="+mn-cs"/>
                          </a:rPr>
                          <m:t> </m:t>
                        </m:r>
                        <m:d>
                          <m:dPr>
                            <m:ctrlPr>
                              <a:rPr lang="es-ES" sz="1100" b="0" i="1">
                                <a:solidFill>
                                  <a:schemeClr val="tx1"/>
                                </a:solidFill>
                                <a:effectLst/>
                                <a:latin typeface="Cambria Math" panose="02040503050406030204" pitchFamily="18" charset="0"/>
                                <a:ea typeface="+mn-ea"/>
                                <a:cs typeface="+mn-cs"/>
                              </a:rPr>
                            </m:ctrlPr>
                          </m:dPr>
                          <m:e>
                            <m:r>
                              <a:rPr lang="es-ES" sz="1100" b="0" i="1">
                                <a:solidFill>
                                  <a:schemeClr val="tx1"/>
                                </a:solidFill>
                                <a:effectLst/>
                                <a:latin typeface="Cambria Math" panose="02040503050406030204" pitchFamily="18" charset="0"/>
                                <a:ea typeface="+mn-ea"/>
                                <a:cs typeface="+mn-cs"/>
                              </a:rPr>
                              <m:t>1+</m:t>
                            </m:r>
                            <m:r>
                              <a:rPr lang="es-ES" sz="1100" b="0" i="1">
                                <a:solidFill>
                                  <a:schemeClr val="tx1"/>
                                </a:solidFill>
                                <a:effectLst/>
                                <a:latin typeface="Cambria Math" panose="02040503050406030204" pitchFamily="18" charset="0"/>
                                <a:ea typeface="+mn-ea"/>
                                <a:cs typeface="+mn-cs"/>
                              </a:rPr>
                              <m:t>𝑔</m:t>
                            </m:r>
                          </m:e>
                        </m:d>
                        <m:r>
                          <a:rPr lang="es-ES" sz="1100" b="0" i="1">
                            <a:solidFill>
                              <a:schemeClr val="tx1"/>
                            </a:solidFill>
                            <a:effectLst/>
                            <a:latin typeface="Cambria Math" panose="02040503050406030204" pitchFamily="18" charset="0"/>
                            <a:ea typeface="+mn-ea"/>
                            <a:cs typeface="+mn-cs"/>
                          </a:rPr>
                          <m:t>𝑅𝑂𝐸</m:t>
                        </m:r>
                      </m:num>
                      <m:den>
                        <m:r>
                          <a:rPr lang="es-ES" sz="1100" b="0" i="1">
                            <a:latin typeface="Cambria Math" panose="02040503050406030204" pitchFamily="18" charset="0"/>
                          </a:rPr>
                          <m:t>𝑟</m:t>
                        </m:r>
                        <m:r>
                          <a:rPr lang="es-ES" sz="1100" b="0" i="1">
                            <a:latin typeface="Cambria Math" panose="02040503050406030204" pitchFamily="18" charset="0"/>
                          </a:rPr>
                          <m:t>−</m:t>
                        </m:r>
                        <m:r>
                          <a:rPr lang="es-ES" sz="1100" b="0" i="1">
                            <a:latin typeface="Cambria Math" panose="02040503050406030204" pitchFamily="18" charset="0"/>
                          </a:rPr>
                          <m:t>𝑔</m:t>
                        </m:r>
                      </m:den>
                    </m:f>
                    <m:r>
                      <a:rPr lang="es-ES" sz="1100" b="0" i="1">
                        <a:latin typeface="Cambria Math" panose="02040503050406030204" pitchFamily="18" charset="0"/>
                      </a:rPr>
                      <m:t> </m:t>
                    </m:r>
                  </m:oMath>
                </m:oMathPara>
              </a14:m>
              <a:endParaRPr lang="es-ES" sz="1100" b="0"/>
            </a:p>
            <a:p>
              <a:pPr marL="0" marR="0" lvl="0" indent="0" defTabSz="914400" eaLnBrk="1" fontAlgn="auto" latinLnBrk="0" hangingPunct="1">
                <a:lnSpc>
                  <a:spcPct val="100000"/>
                </a:lnSpc>
                <a:spcBef>
                  <a:spcPts val="0"/>
                </a:spcBef>
                <a:spcAft>
                  <a:spcPts val="0"/>
                </a:spcAft>
                <a:buClrTx/>
                <a:buSzTx/>
                <a:buFontTx/>
                <a:buNone/>
                <a:tabLst/>
                <a:defRPr/>
              </a:pPr>
              <a14:m>
                <m:oMathPara xmlns:m="http://schemas.openxmlformats.org/officeDocument/2006/math">
                  <m:oMathParaPr>
                    <m:jc m:val="centerGroup"/>
                  </m:oMathParaPr>
                  <m:oMath xmlns:m="http://schemas.openxmlformats.org/officeDocument/2006/math">
                    <m:f>
                      <m:fPr>
                        <m:ctrlPr>
                          <a:rPr lang="es-ES" sz="1100" b="0" i="1">
                            <a:latin typeface="Cambria Math" panose="02040503050406030204" pitchFamily="18" charset="0"/>
                          </a:rPr>
                        </m:ctrlPr>
                      </m:fPr>
                      <m:num>
                        <m:r>
                          <a:rPr lang="es-ES" sz="1100" b="0" i="1">
                            <a:latin typeface="Cambria Math" panose="02040503050406030204" pitchFamily="18" charset="0"/>
                          </a:rPr>
                          <m:t>𝑃</m:t>
                        </m:r>
                      </m:num>
                      <m:den>
                        <m:sSub>
                          <m:sSubPr>
                            <m:ctrlPr>
                              <a:rPr lang="es-ES" sz="1100" b="0" i="1">
                                <a:latin typeface="Cambria Math" panose="02040503050406030204" pitchFamily="18" charset="0"/>
                              </a:rPr>
                            </m:ctrlPr>
                          </m:sSubPr>
                          <m:e>
                            <m:r>
                              <a:rPr lang="es-ES" sz="1100" b="0" i="1">
                                <a:latin typeface="Cambria Math" panose="02040503050406030204" pitchFamily="18" charset="0"/>
                              </a:rPr>
                              <m:t>𝐵</m:t>
                            </m:r>
                          </m:e>
                          <m:sub>
                            <m:r>
                              <a:rPr lang="es-ES" sz="1100" b="0" i="1">
                                <a:latin typeface="Cambria Math" panose="02040503050406030204" pitchFamily="18" charset="0"/>
                              </a:rPr>
                              <m:t>1</m:t>
                            </m:r>
                          </m:sub>
                        </m:sSub>
                      </m:den>
                    </m:f>
                    <m:r>
                      <a:rPr lang="es-ES" sz="1100" b="0" i="1">
                        <a:latin typeface="Cambria Math" panose="02040503050406030204" pitchFamily="18" charset="0"/>
                      </a:rPr>
                      <m:t>=</m:t>
                    </m:r>
                    <m:f>
                      <m:fPr>
                        <m:ctrlPr>
                          <a:rPr lang="es-ES" sz="1100" b="0" i="1">
                            <a:latin typeface="Cambria Math" panose="02040503050406030204" pitchFamily="18" charset="0"/>
                          </a:rPr>
                        </m:ctrlPr>
                      </m:fPr>
                      <m:num>
                        <m:r>
                          <a:rPr lang="x-none" sz="1100">
                            <a:solidFill>
                              <a:schemeClr val="tx1"/>
                            </a:solidFill>
                            <a:effectLst/>
                            <a:latin typeface="Cambria Math" panose="02040503050406030204" pitchFamily="18" charset="0"/>
                            <a:ea typeface="+mn-ea"/>
                            <a:cs typeface="+mn-cs"/>
                          </a:rPr>
                          <m:t>𝜌</m:t>
                        </m:r>
                        <m:r>
                          <m:rPr>
                            <m:nor/>
                          </m:rPr>
                          <a:rPr lang="x-none" sz="1100">
                            <a:solidFill>
                              <a:schemeClr val="tx1"/>
                            </a:solidFill>
                            <a:effectLst/>
                            <a:latin typeface="+mn-lt"/>
                            <a:ea typeface="+mn-ea"/>
                            <a:cs typeface="+mn-cs"/>
                          </a:rPr>
                          <m:t> </m:t>
                        </m:r>
                        <m:r>
                          <a:rPr lang="es-ES" sz="1100" b="0" i="1">
                            <a:solidFill>
                              <a:schemeClr val="tx1"/>
                            </a:solidFill>
                            <a:effectLst/>
                            <a:latin typeface="Cambria Math" panose="02040503050406030204" pitchFamily="18" charset="0"/>
                            <a:ea typeface="+mn-ea"/>
                            <a:cs typeface="+mn-cs"/>
                          </a:rPr>
                          <m:t>𝑅𝑂𝐸</m:t>
                        </m:r>
                      </m:num>
                      <m:den>
                        <m:r>
                          <a:rPr lang="es-ES" sz="1100" b="0" i="1">
                            <a:latin typeface="Cambria Math" panose="02040503050406030204" pitchFamily="18" charset="0"/>
                          </a:rPr>
                          <m:t>𝑟</m:t>
                        </m:r>
                        <m:r>
                          <a:rPr lang="es-ES" sz="1100" b="0" i="1">
                            <a:latin typeface="Cambria Math" panose="02040503050406030204" pitchFamily="18" charset="0"/>
                          </a:rPr>
                          <m:t>−</m:t>
                        </m:r>
                        <m:r>
                          <a:rPr lang="es-ES" sz="1100" b="0" i="1">
                            <a:latin typeface="Cambria Math" panose="02040503050406030204" pitchFamily="18" charset="0"/>
                          </a:rPr>
                          <m:t>𝑔</m:t>
                        </m:r>
                      </m:den>
                    </m:f>
                    <m:r>
                      <a:rPr lang="es-ES" sz="1100" b="0" i="1">
                        <a:latin typeface="Cambria Math" panose="02040503050406030204" pitchFamily="18" charset="0"/>
                      </a:rPr>
                      <m:t> </m:t>
                    </m:r>
                  </m:oMath>
                </m:oMathPara>
              </a14:m>
              <a:endParaRPr lang="en-US" sz="1100"/>
            </a:p>
            <a:p>
              <a:endParaRPr lang="en-US" sz="1100"/>
            </a:p>
          </xdr:txBody>
        </xdr:sp>
      </mc:Choice>
      <mc:Fallback>
        <xdr:sp macro="" textlink="">
          <xdr:nvSpPr>
            <xdr:cNvPr id="4" name="TextBox 3">
              <a:extLst>
                <a:ext uri="{FF2B5EF4-FFF2-40B4-BE49-F238E27FC236}">
                  <a16:creationId xmlns:a16="http://schemas.microsoft.com/office/drawing/2014/main" id="{982665D9-8F8F-7817-4435-EC64CD27E992}"/>
                </a:ext>
              </a:extLst>
            </xdr:cNvPr>
            <xdr:cNvSpPr txBox="1"/>
          </xdr:nvSpPr>
          <xdr:spPr>
            <a:xfrm>
              <a:off x="577188" y="3076963"/>
              <a:ext cx="1300228" cy="88844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ES" sz="1100" b="0" i="0">
                  <a:latin typeface="Cambria Math" panose="02040503050406030204" pitchFamily="18" charset="0"/>
                </a:rPr>
                <a:t>𝑃/𝐵_0 =</a:t>
              </a:r>
              <a:r>
                <a:rPr lang="x-none" sz="1100" i="0">
                  <a:solidFill>
                    <a:schemeClr val="tx1"/>
                  </a:solidFill>
                  <a:effectLst/>
                  <a:latin typeface="Cambria Math" panose="02040503050406030204" pitchFamily="18" charset="0"/>
                  <a:ea typeface="+mn-ea"/>
                  <a:cs typeface="+mn-cs"/>
                </a:rPr>
                <a:t>𝜌</a:t>
              </a:r>
              <a:r>
                <a:rPr lang="x-none" sz="1100" i="0">
                  <a:solidFill>
                    <a:schemeClr val="tx1"/>
                  </a:solidFill>
                  <a:effectLst/>
                  <a:latin typeface="+mn-lt"/>
                  <a:ea typeface="+mn-ea"/>
                  <a:cs typeface="+mn-cs"/>
                </a:rPr>
                <a:t>" </a:t>
              </a:r>
              <a:r>
                <a:rPr lang="es-ES" sz="1100" b="0" i="0">
                  <a:solidFill>
                    <a:schemeClr val="tx1"/>
                  </a:solidFill>
                  <a:effectLst/>
                  <a:latin typeface="Cambria Math" panose="02040503050406030204" pitchFamily="18" charset="0"/>
                  <a:ea typeface="+mn-ea"/>
                  <a:cs typeface="+mn-cs"/>
                </a:rPr>
                <a:t>" (1+𝑔)𝑅𝑂𝐸/(</a:t>
              </a:r>
              <a:r>
                <a:rPr lang="es-ES" sz="1100" b="0" i="0">
                  <a:latin typeface="Cambria Math" panose="02040503050406030204" pitchFamily="18" charset="0"/>
                </a:rPr>
                <a:t>𝑟−𝑔)  </a:t>
              </a:r>
              <a:endParaRPr lang="es-ES" sz="1100" b="0"/>
            </a:p>
            <a:p>
              <a:pPr marL="0" marR="0" lvl="0" indent="0" defTabSz="914400" eaLnBrk="1" fontAlgn="auto" latinLnBrk="0" hangingPunct="1">
                <a:lnSpc>
                  <a:spcPct val="100000"/>
                </a:lnSpc>
                <a:spcBef>
                  <a:spcPts val="0"/>
                </a:spcBef>
                <a:spcAft>
                  <a:spcPts val="0"/>
                </a:spcAft>
                <a:buClrTx/>
                <a:buSzTx/>
                <a:buFontTx/>
                <a:buNone/>
                <a:tabLst/>
                <a:defRPr/>
              </a:pPr>
              <a:r>
                <a:rPr lang="es-ES" sz="1100" b="0" i="0">
                  <a:latin typeface="Cambria Math" panose="02040503050406030204" pitchFamily="18" charset="0"/>
                </a:rPr>
                <a:t>𝑃/𝐵_1 =(</a:t>
              </a:r>
              <a:r>
                <a:rPr lang="x-none" sz="1100" i="0">
                  <a:solidFill>
                    <a:schemeClr val="tx1"/>
                  </a:solidFill>
                  <a:effectLst/>
                  <a:latin typeface="Cambria Math" panose="02040503050406030204" pitchFamily="18" charset="0"/>
                  <a:ea typeface="+mn-ea"/>
                  <a:cs typeface="+mn-cs"/>
                </a:rPr>
                <a:t>𝜌</a:t>
              </a:r>
              <a:r>
                <a:rPr lang="x-none" sz="1100" i="0">
                  <a:solidFill>
                    <a:schemeClr val="tx1"/>
                  </a:solidFill>
                  <a:effectLst/>
                  <a:latin typeface="+mn-lt"/>
                  <a:ea typeface="+mn-ea"/>
                  <a:cs typeface="+mn-cs"/>
                </a:rPr>
                <a:t>" </a:t>
              </a:r>
              <a:r>
                <a:rPr lang="es-ES" sz="1100" b="0" i="0">
                  <a:solidFill>
                    <a:schemeClr val="tx1"/>
                  </a:solidFill>
                  <a:effectLst/>
                  <a:latin typeface="Cambria Math" panose="02040503050406030204" pitchFamily="18" charset="0"/>
                  <a:ea typeface="+mn-ea"/>
                  <a:cs typeface="+mn-cs"/>
                </a:rPr>
                <a:t>" 𝑅𝑂𝐸)/(</a:t>
              </a:r>
              <a:r>
                <a:rPr lang="es-ES" sz="1100" b="0" i="0">
                  <a:latin typeface="Cambria Math" panose="02040503050406030204" pitchFamily="18" charset="0"/>
                </a:rPr>
                <a:t>𝑟−𝑔)  </a:t>
              </a:r>
              <a:endParaRPr lang="en-US" sz="1100"/>
            </a:p>
            <a:p>
              <a:endParaRPr lang="en-US" sz="1100"/>
            </a:p>
          </xdr:txBody>
        </xdr:sp>
      </mc:Fallback>
    </mc:AlternateContent>
    <xdr:clientData/>
  </xdr:oneCellAnchor>
  <xdr:oneCellAnchor>
    <xdr:from>
      <xdr:col>3</xdr:col>
      <xdr:colOff>815787</xdr:colOff>
      <xdr:row>23</xdr:row>
      <xdr:rowOff>34249</xdr:rowOff>
    </xdr:from>
    <xdr:ext cx="2681632" cy="552459"/>
    <mc:AlternateContent xmlns:mc="http://schemas.openxmlformats.org/markup-compatibility/2006">
      <mc:Choice xmlns:a14="http://schemas.microsoft.com/office/drawing/2010/main" Requires="a14">
        <xdr:sp macro="" textlink="">
          <xdr:nvSpPr>
            <xdr:cNvPr id="6" name="TextBox 5">
              <a:extLst>
                <a:ext uri="{FF2B5EF4-FFF2-40B4-BE49-F238E27FC236}">
                  <a16:creationId xmlns:a16="http://schemas.microsoft.com/office/drawing/2014/main" id="{1542CB59-340B-C042-99F3-EAB1D36AD108}"/>
                </a:ext>
              </a:extLst>
            </xdr:cNvPr>
            <xdr:cNvSpPr txBox="1"/>
          </xdr:nvSpPr>
          <xdr:spPr>
            <a:xfrm>
              <a:off x="3298321" y="4660267"/>
              <a:ext cx="2681632" cy="5524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Para xmlns:m="http://schemas.openxmlformats.org/officeDocument/2006/math">
                  <m:oMathParaPr>
                    <m:jc m:val="centerGroup"/>
                  </m:oMathParaPr>
                  <m:oMath xmlns:m="http://schemas.openxmlformats.org/officeDocument/2006/math">
                    <m:r>
                      <a:rPr lang="es-ES" sz="1100" b="0" i="0">
                        <a:solidFill>
                          <a:schemeClr val="tx1"/>
                        </a:solidFill>
                        <a:effectLst/>
                        <a:latin typeface="Cambria Math" panose="02040503050406030204" pitchFamily="18" charset="0"/>
                        <a:ea typeface="+mn-ea"/>
                        <a:cs typeface="+mn-cs"/>
                      </a:rPr>
                      <m:t>1−</m:t>
                    </m:r>
                    <m:r>
                      <a:rPr lang="x-none" sz="1100">
                        <a:solidFill>
                          <a:schemeClr val="tx1"/>
                        </a:solidFill>
                        <a:effectLst/>
                        <a:latin typeface="Cambria Math" panose="02040503050406030204" pitchFamily="18" charset="0"/>
                        <a:ea typeface="+mn-ea"/>
                        <a:cs typeface="+mn-cs"/>
                      </a:rPr>
                      <m:t>𝜌</m:t>
                    </m:r>
                    <m:r>
                      <m:rPr>
                        <m:nor/>
                      </m:rPr>
                      <a:rPr lang="x-none" sz="1100">
                        <a:solidFill>
                          <a:schemeClr val="tx1"/>
                        </a:solidFill>
                        <a:effectLst/>
                        <a:latin typeface="+mn-lt"/>
                        <a:ea typeface="+mn-ea"/>
                        <a:cs typeface="+mn-cs"/>
                      </a:rPr>
                      <m:t> </m:t>
                    </m:r>
                    <m:r>
                      <m:rPr>
                        <m:nor/>
                      </m:rPr>
                      <a:rPr lang="es-ES" sz="1100" b="0" i="0">
                        <a:solidFill>
                          <a:schemeClr val="tx1"/>
                        </a:solidFill>
                        <a:effectLst/>
                        <a:latin typeface="+mn-lt"/>
                        <a:ea typeface="+mn-ea"/>
                        <a:cs typeface="+mn-cs"/>
                      </a:rPr>
                      <m:t>= </m:t>
                    </m:r>
                    <m:r>
                      <m:rPr>
                        <m:nor/>
                      </m:rPr>
                      <a:rPr lang="es-ES" sz="1100" b="0" i="0">
                        <a:solidFill>
                          <a:schemeClr val="tx1"/>
                        </a:solidFill>
                        <a:effectLst/>
                        <a:latin typeface="+mn-lt"/>
                        <a:ea typeface="+mn-ea"/>
                        <a:cs typeface="+mn-cs"/>
                      </a:rPr>
                      <m:t>lo</m:t>
                    </m:r>
                    <m:r>
                      <m:rPr>
                        <m:nor/>
                      </m:rPr>
                      <a:rPr lang="es-ES" sz="1100" b="0" i="0">
                        <a:solidFill>
                          <a:schemeClr val="tx1"/>
                        </a:solidFill>
                        <a:effectLst/>
                        <a:latin typeface="+mn-lt"/>
                        <a:ea typeface="+mn-ea"/>
                        <a:cs typeface="+mn-cs"/>
                      </a:rPr>
                      <m:t> </m:t>
                    </m:r>
                    <m:r>
                      <m:rPr>
                        <m:nor/>
                      </m:rPr>
                      <a:rPr lang="es-ES" sz="1100" b="0" i="0">
                        <a:solidFill>
                          <a:schemeClr val="tx1"/>
                        </a:solidFill>
                        <a:effectLst/>
                        <a:latin typeface="+mn-lt"/>
                        <a:ea typeface="+mn-ea"/>
                        <a:cs typeface="+mn-cs"/>
                      </a:rPr>
                      <m:t>que</m:t>
                    </m:r>
                    <m:r>
                      <m:rPr>
                        <m:nor/>
                      </m:rPr>
                      <a:rPr lang="es-ES" sz="1100" b="0" i="0">
                        <a:solidFill>
                          <a:schemeClr val="tx1"/>
                        </a:solidFill>
                        <a:effectLst/>
                        <a:latin typeface="+mn-lt"/>
                        <a:ea typeface="+mn-ea"/>
                        <a:cs typeface="+mn-cs"/>
                      </a:rPr>
                      <m:t> </m:t>
                    </m:r>
                    <m:r>
                      <m:rPr>
                        <m:nor/>
                      </m:rPr>
                      <a:rPr lang="es-ES" sz="1100" b="0" i="0">
                        <a:solidFill>
                          <a:schemeClr val="tx1"/>
                        </a:solidFill>
                        <a:effectLst/>
                        <a:latin typeface="+mn-lt"/>
                        <a:ea typeface="+mn-ea"/>
                        <a:cs typeface="+mn-cs"/>
                      </a:rPr>
                      <m:t>se</m:t>
                    </m:r>
                    <m:r>
                      <m:rPr>
                        <m:nor/>
                      </m:rPr>
                      <a:rPr lang="es-ES" sz="1100" b="0" i="0">
                        <a:solidFill>
                          <a:schemeClr val="tx1"/>
                        </a:solidFill>
                        <a:effectLst/>
                        <a:latin typeface="+mn-lt"/>
                        <a:ea typeface="+mn-ea"/>
                        <a:cs typeface="+mn-cs"/>
                      </a:rPr>
                      <m:t> </m:t>
                    </m:r>
                    <m:r>
                      <m:rPr>
                        <m:nor/>
                      </m:rPr>
                      <a:rPr lang="es-ES" sz="1100" b="0" i="0">
                        <a:solidFill>
                          <a:schemeClr val="tx1"/>
                        </a:solidFill>
                        <a:effectLst/>
                        <a:latin typeface="+mn-lt"/>
                        <a:ea typeface="+mn-ea"/>
                        <a:cs typeface="+mn-cs"/>
                      </a:rPr>
                      <m:t>reinvierte</m:t>
                    </m:r>
                  </m:oMath>
                  <m:oMath xmlns:m="http://schemas.openxmlformats.org/officeDocument/2006/math">
                    <m:sSub>
                      <m:sSubPr>
                        <m:ctrlPr>
                          <a:rPr lang="es-ES" sz="1100" b="0" i="1">
                            <a:solidFill>
                              <a:schemeClr val="tx1"/>
                            </a:solidFill>
                            <a:effectLst/>
                            <a:latin typeface="Cambria Math" panose="02040503050406030204" pitchFamily="18" charset="0"/>
                            <a:ea typeface="+mn-ea"/>
                            <a:cs typeface="+mn-cs"/>
                          </a:rPr>
                        </m:ctrlPr>
                      </m:sSubPr>
                      <m:e>
                        <m:r>
                          <a:rPr lang="es-ES" sz="1100" b="0" i="1">
                            <a:solidFill>
                              <a:schemeClr val="tx1"/>
                            </a:solidFill>
                            <a:effectLst/>
                            <a:latin typeface="Cambria Math" panose="02040503050406030204" pitchFamily="18" charset="0"/>
                            <a:ea typeface="+mn-ea"/>
                            <a:cs typeface="+mn-cs"/>
                          </a:rPr>
                          <m:t>𝐾</m:t>
                        </m:r>
                      </m:e>
                      <m:sub>
                        <m:r>
                          <a:rPr lang="es-ES" sz="1100" b="0" i="1">
                            <a:solidFill>
                              <a:schemeClr val="tx1"/>
                            </a:solidFill>
                            <a:effectLst/>
                            <a:latin typeface="Cambria Math" panose="02040503050406030204" pitchFamily="18" charset="0"/>
                            <a:ea typeface="+mn-ea"/>
                            <a:cs typeface="+mn-cs"/>
                          </a:rPr>
                          <m:t>𝑡</m:t>
                        </m:r>
                        <m:r>
                          <a:rPr lang="es-ES" sz="1100" b="0" i="1">
                            <a:solidFill>
                              <a:schemeClr val="tx1"/>
                            </a:solidFill>
                            <a:effectLst/>
                            <a:latin typeface="Cambria Math" panose="02040503050406030204" pitchFamily="18" charset="0"/>
                            <a:ea typeface="+mn-ea"/>
                            <a:cs typeface="+mn-cs"/>
                          </a:rPr>
                          <m:t>+1</m:t>
                        </m:r>
                      </m:sub>
                    </m:sSub>
                    <m:r>
                      <a:rPr lang="es-ES" sz="1100" b="0" i="1">
                        <a:solidFill>
                          <a:schemeClr val="tx1"/>
                        </a:solidFill>
                        <a:effectLst/>
                        <a:latin typeface="Cambria Math" panose="02040503050406030204" pitchFamily="18" charset="0"/>
                        <a:ea typeface="+mn-ea"/>
                        <a:cs typeface="+mn-cs"/>
                      </a:rPr>
                      <m:t>=</m:t>
                    </m:r>
                    <m:sSub>
                      <m:sSubPr>
                        <m:ctrlPr>
                          <a:rPr lang="es-ES" sz="1100" b="0" i="1">
                            <a:solidFill>
                              <a:schemeClr val="tx1"/>
                            </a:solidFill>
                            <a:effectLst/>
                            <a:latin typeface="Cambria Math" panose="02040503050406030204" pitchFamily="18" charset="0"/>
                            <a:ea typeface="+mn-ea"/>
                            <a:cs typeface="+mn-cs"/>
                          </a:rPr>
                        </m:ctrlPr>
                      </m:sSubPr>
                      <m:e>
                        <m:r>
                          <a:rPr lang="es-ES" sz="1100" b="0" i="1">
                            <a:solidFill>
                              <a:schemeClr val="tx1"/>
                            </a:solidFill>
                            <a:effectLst/>
                            <a:latin typeface="Cambria Math" panose="02040503050406030204" pitchFamily="18" charset="0"/>
                            <a:ea typeface="+mn-ea"/>
                            <a:cs typeface="+mn-cs"/>
                          </a:rPr>
                          <m:t>𝐾</m:t>
                        </m:r>
                      </m:e>
                      <m:sub>
                        <m:r>
                          <a:rPr lang="es-ES" sz="1100" b="0" i="1">
                            <a:solidFill>
                              <a:schemeClr val="tx1"/>
                            </a:solidFill>
                            <a:effectLst/>
                            <a:latin typeface="Cambria Math" panose="02040503050406030204" pitchFamily="18" charset="0"/>
                            <a:ea typeface="+mn-ea"/>
                            <a:cs typeface="+mn-cs"/>
                          </a:rPr>
                          <m:t>𝑡</m:t>
                        </m:r>
                      </m:sub>
                    </m:sSub>
                    <m:d>
                      <m:dPr>
                        <m:ctrlPr>
                          <a:rPr lang="es-ES" sz="1100" b="0" i="1">
                            <a:solidFill>
                              <a:schemeClr val="tx1"/>
                            </a:solidFill>
                            <a:effectLst/>
                            <a:latin typeface="Cambria Math" panose="02040503050406030204" pitchFamily="18" charset="0"/>
                            <a:ea typeface="+mn-ea"/>
                            <a:cs typeface="+mn-cs"/>
                          </a:rPr>
                        </m:ctrlPr>
                      </m:dPr>
                      <m:e>
                        <m:r>
                          <a:rPr lang="es-ES" sz="1100" b="0" i="1">
                            <a:solidFill>
                              <a:schemeClr val="tx1"/>
                            </a:solidFill>
                            <a:effectLst/>
                            <a:latin typeface="Cambria Math" panose="02040503050406030204" pitchFamily="18" charset="0"/>
                            <a:ea typeface="+mn-ea"/>
                            <a:cs typeface="+mn-cs"/>
                          </a:rPr>
                          <m:t>1+</m:t>
                        </m:r>
                        <m:f>
                          <m:fPr>
                            <m:ctrlPr>
                              <a:rPr lang="es-ES" sz="1100" b="0" i="0">
                                <a:solidFill>
                                  <a:schemeClr val="tx1"/>
                                </a:solidFill>
                                <a:effectLst/>
                                <a:latin typeface="Cambria Math" panose="02040503050406030204" pitchFamily="18" charset="0"/>
                                <a:ea typeface="+mn-ea"/>
                                <a:cs typeface="+mn-cs"/>
                              </a:rPr>
                            </m:ctrlPr>
                          </m:fPr>
                          <m:num>
                            <m:d>
                              <m:dPr>
                                <m:ctrlPr>
                                  <a:rPr lang="es-ES" sz="1100" b="0" i="0">
                                    <a:solidFill>
                                      <a:schemeClr val="tx1"/>
                                    </a:solidFill>
                                    <a:effectLst/>
                                    <a:latin typeface="Cambria Math" panose="02040503050406030204" pitchFamily="18" charset="0"/>
                                    <a:ea typeface="+mn-ea"/>
                                    <a:cs typeface="+mn-cs"/>
                                  </a:rPr>
                                </m:ctrlPr>
                              </m:dPr>
                              <m:e>
                                <m:r>
                                  <a:rPr lang="es-ES" sz="1100" b="0" i="1">
                                    <a:solidFill>
                                      <a:schemeClr val="tx1"/>
                                    </a:solidFill>
                                    <a:effectLst/>
                                    <a:latin typeface="Cambria Math" panose="02040503050406030204" pitchFamily="18" charset="0"/>
                                    <a:ea typeface="+mn-ea"/>
                                    <a:cs typeface="+mn-cs"/>
                                  </a:rPr>
                                  <m:t>1−</m:t>
                                </m:r>
                                <m:r>
                                  <a:rPr lang="x-none" sz="1100">
                                    <a:solidFill>
                                      <a:schemeClr val="tx1"/>
                                    </a:solidFill>
                                    <a:effectLst/>
                                    <a:latin typeface="Cambria Math" panose="02040503050406030204" pitchFamily="18" charset="0"/>
                                    <a:ea typeface="+mn-ea"/>
                                    <a:cs typeface="+mn-cs"/>
                                  </a:rPr>
                                  <m:t>𝜌</m:t>
                                </m:r>
                              </m:e>
                            </m:d>
                            <m:r>
                              <a:rPr lang="es-ES" sz="1100" b="0" i="1">
                                <a:solidFill>
                                  <a:schemeClr val="tx1"/>
                                </a:solidFill>
                                <a:effectLst/>
                                <a:latin typeface="Cambria Math" panose="02040503050406030204" pitchFamily="18" charset="0"/>
                                <a:ea typeface="+mn-ea"/>
                                <a:cs typeface="+mn-cs"/>
                              </a:rPr>
                              <m:t>∗</m:t>
                            </m:r>
                            <m:sSub>
                              <m:sSubPr>
                                <m:ctrlPr>
                                  <a:rPr lang="es-ES" sz="1100" b="0" i="1">
                                    <a:solidFill>
                                      <a:schemeClr val="tx1"/>
                                    </a:solidFill>
                                    <a:effectLst/>
                                    <a:latin typeface="Cambria Math" panose="02040503050406030204" pitchFamily="18" charset="0"/>
                                    <a:ea typeface="+mn-ea"/>
                                    <a:cs typeface="+mn-cs"/>
                                  </a:rPr>
                                </m:ctrlPr>
                              </m:sSubPr>
                              <m:e>
                                <m:r>
                                  <a:rPr lang="es-ES" sz="1100" b="0" i="1">
                                    <a:solidFill>
                                      <a:schemeClr val="tx1"/>
                                    </a:solidFill>
                                    <a:effectLst/>
                                    <a:latin typeface="Cambria Math" panose="02040503050406030204" pitchFamily="18" charset="0"/>
                                    <a:ea typeface="+mn-ea"/>
                                    <a:cs typeface="+mn-cs"/>
                                  </a:rPr>
                                  <m:t>𝐸</m:t>
                                </m:r>
                              </m:e>
                              <m:sub>
                                <m:r>
                                  <a:rPr lang="es-ES" sz="1100" b="0" i="1">
                                    <a:solidFill>
                                      <a:schemeClr val="tx1"/>
                                    </a:solidFill>
                                    <a:effectLst/>
                                    <a:latin typeface="Cambria Math" panose="02040503050406030204" pitchFamily="18" charset="0"/>
                                    <a:ea typeface="+mn-ea"/>
                                    <a:cs typeface="+mn-cs"/>
                                  </a:rPr>
                                  <m:t>𝑡</m:t>
                                </m:r>
                              </m:sub>
                            </m:sSub>
                          </m:num>
                          <m:den>
                            <m:sSub>
                              <m:sSubPr>
                                <m:ctrlPr>
                                  <a:rPr lang="es-ES" sz="1100" b="0" i="1">
                                    <a:solidFill>
                                      <a:schemeClr val="tx1"/>
                                    </a:solidFill>
                                    <a:effectLst/>
                                    <a:latin typeface="Cambria Math" panose="02040503050406030204" pitchFamily="18" charset="0"/>
                                    <a:ea typeface="+mn-ea"/>
                                    <a:cs typeface="+mn-cs"/>
                                  </a:rPr>
                                </m:ctrlPr>
                              </m:sSubPr>
                              <m:e>
                                <m:r>
                                  <a:rPr lang="es-ES" sz="1100" b="0" i="1">
                                    <a:solidFill>
                                      <a:schemeClr val="tx1"/>
                                    </a:solidFill>
                                    <a:effectLst/>
                                    <a:latin typeface="Cambria Math" panose="02040503050406030204" pitchFamily="18" charset="0"/>
                                    <a:ea typeface="+mn-ea"/>
                                    <a:cs typeface="+mn-cs"/>
                                  </a:rPr>
                                  <m:t>𝐾</m:t>
                                </m:r>
                              </m:e>
                              <m:sub>
                                <m:r>
                                  <a:rPr lang="es-ES" sz="1100" b="0" i="1">
                                    <a:solidFill>
                                      <a:schemeClr val="tx1"/>
                                    </a:solidFill>
                                    <a:effectLst/>
                                    <a:latin typeface="Cambria Math" panose="02040503050406030204" pitchFamily="18" charset="0"/>
                                    <a:ea typeface="+mn-ea"/>
                                    <a:cs typeface="+mn-cs"/>
                                  </a:rPr>
                                  <m:t>𝑡</m:t>
                                </m:r>
                              </m:sub>
                            </m:sSub>
                          </m:den>
                        </m:f>
                      </m:e>
                    </m:d>
                    <m:r>
                      <a:rPr lang="es-ES" sz="1100" b="0" i="1">
                        <a:solidFill>
                          <a:schemeClr val="tx1"/>
                        </a:solidFill>
                        <a:effectLst/>
                        <a:latin typeface="Cambria Math" panose="02040503050406030204" pitchFamily="18" charset="0"/>
                        <a:ea typeface="+mn-ea"/>
                        <a:cs typeface="+mn-cs"/>
                      </a:rPr>
                      <m:t>=</m:t>
                    </m:r>
                    <m:sSub>
                      <m:sSubPr>
                        <m:ctrlPr>
                          <a:rPr lang="es-ES" sz="1100" b="0" i="1">
                            <a:solidFill>
                              <a:schemeClr val="tx1"/>
                            </a:solidFill>
                            <a:effectLst/>
                            <a:latin typeface="Cambria Math" panose="02040503050406030204" pitchFamily="18" charset="0"/>
                            <a:ea typeface="+mn-ea"/>
                            <a:cs typeface="+mn-cs"/>
                          </a:rPr>
                        </m:ctrlPr>
                      </m:sSubPr>
                      <m:e>
                        <m:r>
                          <a:rPr lang="es-ES" sz="1100" b="0" i="1">
                            <a:solidFill>
                              <a:schemeClr val="tx1"/>
                            </a:solidFill>
                            <a:effectLst/>
                            <a:latin typeface="Cambria Math" panose="02040503050406030204" pitchFamily="18" charset="0"/>
                            <a:ea typeface="+mn-ea"/>
                            <a:cs typeface="+mn-cs"/>
                          </a:rPr>
                          <m:t>𝐾</m:t>
                        </m:r>
                      </m:e>
                      <m:sub>
                        <m:r>
                          <a:rPr lang="es-ES" sz="1100" b="0" i="1">
                            <a:solidFill>
                              <a:schemeClr val="tx1"/>
                            </a:solidFill>
                            <a:effectLst/>
                            <a:latin typeface="Cambria Math" panose="02040503050406030204" pitchFamily="18" charset="0"/>
                            <a:ea typeface="+mn-ea"/>
                            <a:cs typeface="+mn-cs"/>
                          </a:rPr>
                          <m:t>𝑡</m:t>
                        </m:r>
                      </m:sub>
                    </m:sSub>
                    <m:r>
                      <a:rPr lang="es-ES" sz="1100" b="0" i="1">
                        <a:solidFill>
                          <a:schemeClr val="tx1"/>
                        </a:solidFill>
                        <a:effectLst/>
                        <a:latin typeface="Cambria Math" panose="02040503050406030204" pitchFamily="18" charset="0"/>
                        <a:ea typeface="+mn-ea"/>
                        <a:cs typeface="+mn-cs"/>
                      </a:rPr>
                      <m:t>∗(1+</m:t>
                    </m:r>
                    <m:r>
                      <a:rPr lang="es-ES" sz="1100" b="0" i="1">
                        <a:solidFill>
                          <a:schemeClr val="tx1"/>
                        </a:solidFill>
                        <a:effectLst/>
                        <a:latin typeface="Cambria Math" panose="02040503050406030204" pitchFamily="18" charset="0"/>
                        <a:ea typeface="+mn-ea"/>
                        <a:cs typeface="+mn-cs"/>
                      </a:rPr>
                      <m:t>𝑔</m:t>
                    </m:r>
                    <m:r>
                      <a:rPr lang="es-ES" sz="1100" b="0" i="1">
                        <a:solidFill>
                          <a:schemeClr val="tx1"/>
                        </a:solidFill>
                        <a:effectLst/>
                        <a:latin typeface="Cambria Math" panose="02040503050406030204" pitchFamily="18" charset="0"/>
                        <a:ea typeface="+mn-ea"/>
                        <a:cs typeface="+mn-cs"/>
                      </a:rPr>
                      <m:t>)</m:t>
                    </m:r>
                  </m:oMath>
                </m:oMathPara>
              </a14:m>
              <a:endParaRPr lang="en-US" sz="1100"/>
            </a:p>
          </xdr:txBody>
        </xdr:sp>
      </mc:Choice>
      <mc:Fallback>
        <xdr:sp macro="" textlink="">
          <xdr:nvSpPr>
            <xdr:cNvPr id="6" name="TextBox 5">
              <a:extLst>
                <a:ext uri="{FF2B5EF4-FFF2-40B4-BE49-F238E27FC236}">
                  <a16:creationId xmlns:a16="http://schemas.microsoft.com/office/drawing/2014/main" id="{1542CB59-340B-C042-99F3-EAB1D36AD108}"/>
                </a:ext>
              </a:extLst>
            </xdr:cNvPr>
            <xdr:cNvSpPr txBox="1"/>
          </xdr:nvSpPr>
          <xdr:spPr>
            <a:xfrm>
              <a:off x="3298321" y="4660267"/>
              <a:ext cx="2681632" cy="5524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ES" sz="1100" b="0" i="0">
                  <a:solidFill>
                    <a:schemeClr val="tx1"/>
                  </a:solidFill>
                  <a:effectLst/>
                  <a:latin typeface="Cambria Math" panose="02040503050406030204" pitchFamily="18" charset="0"/>
                  <a:ea typeface="+mn-ea"/>
                  <a:cs typeface="+mn-cs"/>
                </a:rPr>
                <a:t>1−</a:t>
              </a:r>
              <a:r>
                <a:rPr lang="x-none" sz="1100" i="0">
                  <a:solidFill>
                    <a:schemeClr val="tx1"/>
                  </a:solidFill>
                  <a:effectLst/>
                  <a:latin typeface="Cambria Math" panose="02040503050406030204" pitchFamily="18" charset="0"/>
                  <a:ea typeface="+mn-ea"/>
                  <a:cs typeface="+mn-cs"/>
                </a:rPr>
                <a:t>𝜌" </a:t>
              </a:r>
              <a:r>
                <a:rPr lang="es-ES" sz="1100" b="0" i="0">
                  <a:solidFill>
                    <a:schemeClr val="tx1"/>
                  </a:solidFill>
                  <a:effectLst/>
                  <a:latin typeface="Cambria Math" panose="02040503050406030204" pitchFamily="18" charset="0"/>
                  <a:ea typeface="+mn-ea"/>
                  <a:cs typeface="+mn-cs"/>
                </a:rPr>
                <a:t>= lo que se reinvierte</a:t>
              </a:r>
              <a:r>
                <a:rPr lang="en-US" sz="1100" b="0" i="0">
                  <a:solidFill>
                    <a:schemeClr val="tx1"/>
                  </a:solidFill>
                  <a:effectLst/>
                  <a:latin typeface="+mn-lt"/>
                  <a:ea typeface="+mn-ea"/>
                  <a:cs typeface="+mn-cs"/>
                </a:rPr>
                <a:t>"</a:t>
              </a:r>
              <a:br>
                <a:rPr lang="es-ES" sz="1100" b="0">
                  <a:solidFill>
                    <a:schemeClr val="tx1"/>
                  </a:solidFill>
                  <a:effectLst/>
                  <a:ea typeface="+mn-ea"/>
                  <a:cs typeface="+mn-cs"/>
                </a:rPr>
              </a:br>
              <a:r>
                <a:rPr lang="es-ES" sz="1100" b="0" i="0">
                  <a:solidFill>
                    <a:schemeClr val="tx1"/>
                  </a:solidFill>
                  <a:effectLst/>
                  <a:latin typeface="Cambria Math" panose="02040503050406030204" pitchFamily="18" charset="0"/>
                  <a:ea typeface="+mn-ea"/>
                  <a:cs typeface="+mn-cs"/>
                </a:rPr>
                <a:t>𝐾_(𝑡+1)=𝐾_𝑡 (1+((1−</a:t>
              </a:r>
              <a:r>
                <a:rPr lang="x-none" sz="1100" i="0">
                  <a:solidFill>
                    <a:schemeClr val="tx1"/>
                  </a:solidFill>
                  <a:effectLst/>
                  <a:latin typeface="Cambria Math" panose="02040503050406030204" pitchFamily="18" charset="0"/>
                  <a:ea typeface="+mn-ea"/>
                  <a:cs typeface="+mn-cs"/>
                </a:rPr>
                <a:t>𝜌</a:t>
              </a:r>
              <a:r>
                <a:rPr lang="es-ES" sz="1100" b="0" i="0">
                  <a:solidFill>
                    <a:schemeClr val="tx1"/>
                  </a:solidFill>
                  <a:effectLst/>
                  <a:latin typeface="Cambria Math" panose="02040503050406030204" pitchFamily="18" charset="0"/>
                  <a:ea typeface="+mn-ea"/>
                  <a:cs typeface="+mn-cs"/>
                </a:rPr>
                <a:t>)∗𝐸_𝑡)/𝐾_𝑡 )=𝐾_𝑡∗(1+𝑔)</a:t>
              </a:r>
              <a:endParaRPr lang="en-US" sz="1100"/>
            </a:p>
          </xdr:txBody>
        </xdr:sp>
      </mc:Fallback>
    </mc:AlternateContent>
    <xdr:clientData/>
  </xdr:oneCellAnchor>
</xdr:wsDr>
</file>

<file path=xl/drawings/drawing4.xml><?xml version="1.0" encoding="utf-8"?>
<xdr:wsDr xmlns:xdr="http://schemas.openxmlformats.org/drawingml/2006/spreadsheetDrawing" xmlns:a="http://schemas.openxmlformats.org/drawingml/2006/main">
  <xdr:twoCellAnchor editAs="oneCell">
    <xdr:from>
      <xdr:col>0</xdr:col>
      <xdr:colOff>0</xdr:colOff>
      <xdr:row>20</xdr:row>
      <xdr:rowOff>74705</xdr:rowOff>
    </xdr:from>
    <xdr:to>
      <xdr:col>8</xdr:col>
      <xdr:colOff>787400</xdr:colOff>
      <xdr:row>24</xdr:row>
      <xdr:rowOff>154776</xdr:rowOff>
    </xdr:to>
    <xdr:pic>
      <xdr:nvPicPr>
        <xdr:cNvPr id="5" name="Picture 4">
          <a:extLst>
            <a:ext uri="{FF2B5EF4-FFF2-40B4-BE49-F238E27FC236}">
              <a16:creationId xmlns:a16="http://schemas.microsoft.com/office/drawing/2014/main" id="{8F1AE096-459D-523C-47CB-59AC5822BB0D}"/>
            </a:ext>
          </a:extLst>
        </xdr:cNvPr>
        <xdr:cNvPicPr>
          <a:picLocks noChangeAspect="1"/>
        </xdr:cNvPicPr>
      </xdr:nvPicPr>
      <xdr:blipFill>
        <a:blip xmlns:r="http://schemas.openxmlformats.org/officeDocument/2006/relationships" r:embed="rId1"/>
        <a:stretch>
          <a:fillRect/>
        </a:stretch>
      </xdr:blipFill>
      <xdr:spPr>
        <a:xfrm>
          <a:off x="0" y="4183529"/>
          <a:ext cx="7772400" cy="901835"/>
        </a:xfrm>
        <a:prstGeom prst="rect">
          <a:avLst/>
        </a:prstGeom>
      </xdr:spPr>
    </xdr:pic>
    <xdr:clientData/>
  </xdr:twoCellAnchor>
  <xdr:twoCellAnchor editAs="oneCell">
    <xdr:from>
      <xdr:col>0</xdr:col>
      <xdr:colOff>0</xdr:colOff>
      <xdr:row>0</xdr:row>
      <xdr:rowOff>0</xdr:rowOff>
    </xdr:from>
    <xdr:to>
      <xdr:col>8</xdr:col>
      <xdr:colOff>787400</xdr:colOff>
      <xdr:row>6</xdr:row>
      <xdr:rowOff>92060</xdr:rowOff>
    </xdr:to>
    <xdr:pic>
      <xdr:nvPicPr>
        <xdr:cNvPr id="6" name="Picture 5">
          <a:extLst>
            <a:ext uri="{FF2B5EF4-FFF2-40B4-BE49-F238E27FC236}">
              <a16:creationId xmlns:a16="http://schemas.microsoft.com/office/drawing/2014/main" id="{149CA105-022E-C24B-3A57-EE9CBEDDB5D2}"/>
            </a:ext>
          </a:extLst>
        </xdr:cNvPr>
        <xdr:cNvPicPr>
          <a:picLocks noChangeAspect="1"/>
        </xdr:cNvPicPr>
      </xdr:nvPicPr>
      <xdr:blipFill>
        <a:blip xmlns:r="http://schemas.openxmlformats.org/officeDocument/2006/relationships" r:embed="rId2"/>
        <a:stretch>
          <a:fillRect/>
        </a:stretch>
      </xdr:blipFill>
      <xdr:spPr>
        <a:xfrm>
          <a:off x="0" y="0"/>
          <a:ext cx="7772400" cy="1324707"/>
        </a:xfrm>
        <a:prstGeom prst="rect">
          <a:avLst/>
        </a:prstGeom>
      </xdr:spPr>
    </xdr:pic>
    <xdr:clientData/>
  </xdr:twoCellAnchor>
  <xdr:twoCellAnchor editAs="oneCell">
    <xdr:from>
      <xdr:col>0</xdr:col>
      <xdr:colOff>0</xdr:colOff>
      <xdr:row>32</xdr:row>
      <xdr:rowOff>0</xdr:rowOff>
    </xdr:from>
    <xdr:to>
      <xdr:col>8</xdr:col>
      <xdr:colOff>787400</xdr:colOff>
      <xdr:row>61</xdr:row>
      <xdr:rowOff>97717</xdr:rowOff>
    </xdr:to>
    <xdr:pic>
      <xdr:nvPicPr>
        <xdr:cNvPr id="7" name="Picture 6">
          <a:extLst>
            <a:ext uri="{FF2B5EF4-FFF2-40B4-BE49-F238E27FC236}">
              <a16:creationId xmlns:a16="http://schemas.microsoft.com/office/drawing/2014/main" id="{D1ECDDC1-5AC3-6173-21D3-B0C39DFB5B74}"/>
            </a:ext>
          </a:extLst>
        </xdr:cNvPr>
        <xdr:cNvPicPr>
          <a:picLocks noChangeAspect="1"/>
        </xdr:cNvPicPr>
      </xdr:nvPicPr>
      <xdr:blipFill>
        <a:blip xmlns:r="http://schemas.openxmlformats.org/officeDocument/2006/relationships" r:embed="rId3"/>
        <a:stretch>
          <a:fillRect/>
        </a:stretch>
      </xdr:blipFill>
      <xdr:spPr>
        <a:xfrm>
          <a:off x="0" y="6574118"/>
          <a:ext cx="7772400" cy="6055511"/>
        </a:xfrm>
        <a:prstGeom prst="rect">
          <a:avLst/>
        </a:prstGeom>
      </xdr:spPr>
    </xdr:pic>
    <xdr:clientData/>
  </xdr:twoCellAnchor>
  <xdr:twoCellAnchor editAs="oneCell">
    <xdr:from>
      <xdr:col>0</xdr:col>
      <xdr:colOff>0</xdr:colOff>
      <xdr:row>66</xdr:row>
      <xdr:rowOff>0</xdr:rowOff>
    </xdr:from>
    <xdr:to>
      <xdr:col>8</xdr:col>
      <xdr:colOff>742043</xdr:colOff>
      <xdr:row>80</xdr:row>
      <xdr:rowOff>84903</xdr:rowOff>
    </xdr:to>
    <xdr:pic>
      <xdr:nvPicPr>
        <xdr:cNvPr id="8" name="Picture 7">
          <a:extLst>
            <a:ext uri="{FF2B5EF4-FFF2-40B4-BE49-F238E27FC236}">
              <a16:creationId xmlns:a16="http://schemas.microsoft.com/office/drawing/2014/main" id="{A47EBB7C-20DC-7A36-12FE-21A6010E190D}"/>
            </a:ext>
          </a:extLst>
        </xdr:cNvPr>
        <xdr:cNvPicPr>
          <a:picLocks noChangeAspect="1"/>
        </xdr:cNvPicPr>
      </xdr:nvPicPr>
      <xdr:blipFill>
        <a:blip xmlns:r="http://schemas.openxmlformats.org/officeDocument/2006/relationships" r:embed="rId4"/>
        <a:stretch>
          <a:fillRect/>
        </a:stretch>
      </xdr:blipFill>
      <xdr:spPr>
        <a:xfrm>
          <a:off x="0" y="13471071"/>
          <a:ext cx="7772400" cy="2953743"/>
        </a:xfrm>
        <a:prstGeom prst="rect">
          <a:avLst/>
        </a:prstGeom>
      </xdr:spPr>
    </xdr:pic>
    <xdr:clientData/>
  </xdr:twoCellAnchor>
  <xdr:twoCellAnchor editAs="oneCell">
    <xdr:from>
      <xdr:col>9</xdr:col>
      <xdr:colOff>0</xdr:colOff>
      <xdr:row>78</xdr:row>
      <xdr:rowOff>79376</xdr:rowOff>
    </xdr:from>
    <xdr:to>
      <xdr:col>11</xdr:col>
      <xdr:colOff>472168</xdr:colOff>
      <xdr:row>80</xdr:row>
      <xdr:rowOff>193675</xdr:rowOff>
    </xdr:to>
    <xdr:pic>
      <xdr:nvPicPr>
        <xdr:cNvPr id="13" name="Picture 12">
          <a:extLst>
            <a:ext uri="{FF2B5EF4-FFF2-40B4-BE49-F238E27FC236}">
              <a16:creationId xmlns:a16="http://schemas.microsoft.com/office/drawing/2014/main" id="{94B05ED6-87A8-314E-76A5-20AFD7453612}"/>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7858125" y="15999733"/>
          <a:ext cx="2252436" cy="53385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0</xdr:colOff>
      <xdr:row>81</xdr:row>
      <xdr:rowOff>0</xdr:rowOff>
    </xdr:from>
    <xdr:to>
      <xdr:col>13</xdr:col>
      <xdr:colOff>383267</xdr:colOff>
      <xdr:row>82</xdr:row>
      <xdr:rowOff>38100</xdr:rowOff>
    </xdr:to>
    <xdr:pic>
      <xdr:nvPicPr>
        <xdr:cNvPr id="14" name="Picture 13">
          <a:extLst>
            <a:ext uri="{FF2B5EF4-FFF2-40B4-BE49-F238E27FC236}">
              <a16:creationId xmlns:a16="http://schemas.microsoft.com/office/drawing/2014/main" id="{FA08BF2F-31D6-4CC8-D349-C7E6B7832465}"/>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7835900" y="16484600"/>
          <a:ext cx="38100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816429</xdr:colOff>
      <xdr:row>82</xdr:row>
      <xdr:rowOff>136071</xdr:rowOff>
    </xdr:from>
    <xdr:to>
      <xdr:col>13</xdr:col>
      <xdr:colOff>371928</xdr:colOff>
      <xdr:row>83</xdr:row>
      <xdr:rowOff>174171</xdr:rowOff>
    </xdr:to>
    <xdr:pic>
      <xdr:nvPicPr>
        <xdr:cNvPr id="15" name="Picture 14">
          <a:extLst>
            <a:ext uri="{FF2B5EF4-FFF2-40B4-BE49-F238E27FC236}">
              <a16:creationId xmlns:a16="http://schemas.microsoft.com/office/drawing/2014/main" id="{205F5D19-4475-CC46-1087-056B8D6E876D}"/>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7846786" y="16906875"/>
          <a:ext cx="3819071" cy="253546"/>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816429</xdr:colOff>
      <xdr:row>84</xdr:row>
      <xdr:rowOff>56697</xdr:rowOff>
    </xdr:from>
    <xdr:to>
      <xdr:col>13</xdr:col>
      <xdr:colOff>371928</xdr:colOff>
      <xdr:row>85</xdr:row>
      <xdr:rowOff>107497</xdr:rowOff>
    </xdr:to>
    <xdr:pic>
      <xdr:nvPicPr>
        <xdr:cNvPr id="16" name="Picture 15">
          <a:extLst>
            <a:ext uri="{FF2B5EF4-FFF2-40B4-BE49-F238E27FC236}">
              <a16:creationId xmlns:a16="http://schemas.microsoft.com/office/drawing/2014/main" id="{BFAF7DD4-52F7-79A8-6596-0FEAEBE8D3FF}"/>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7846786" y="17247054"/>
          <a:ext cx="3819071" cy="254907"/>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92</xdr:row>
      <xdr:rowOff>0</xdr:rowOff>
    </xdr:from>
    <xdr:to>
      <xdr:col>8</xdr:col>
      <xdr:colOff>742043</xdr:colOff>
      <xdr:row>98</xdr:row>
      <xdr:rowOff>36667</xdr:rowOff>
    </xdr:to>
    <xdr:pic>
      <xdr:nvPicPr>
        <xdr:cNvPr id="17" name="Picture 16">
          <a:extLst>
            <a:ext uri="{FF2B5EF4-FFF2-40B4-BE49-F238E27FC236}">
              <a16:creationId xmlns:a16="http://schemas.microsoft.com/office/drawing/2014/main" id="{44FA9EA6-8A83-3AFA-FB82-F0C31E2F3D2B}"/>
            </a:ext>
          </a:extLst>
        </xdr:cNvPr>
        <xdr:cNvPicPr>
          <a:picLocks noChangeAspect="1"/>
        </xdr:cNvPicPr>
      </xdr:nvPicPr>
      <xdr:blipFill>
        <a:blip xmlns:r="http://schemas.openxmlformats.org/officeDocument/2006/relationships" r:embed="rId9"/>
        <a:stretch>
          <a:fillRect/>
        </a:stretch>
      </xdr:blipFill>
      <xdr:spPr>
        <a:xfrm>
          <a:off x="0" y="18823214"/>
          <a:ext cx="7772400" cy="1261310"/>
        </a:xfrm>
        <a:prstGeom prst="rect">
          <a:avLst/>
        </a:prstGeom>
      </xdr:spPr>
    </xdr:pic>
    <xdr:clientData/>
  </xdr:twoCellAnchor>
  <xdr:twoCellAnchor editAs="oneCell">
    <xdr:from>
      <xdr:col>0</xdr:col>
      <xdr:colOff>0</xdr:colOff>
      <xdr:row>98</xdr:row>
      <xdr:rowOff>0</xdr:rowOff>
    </xdr:from>
    <xdr:to>
      <xdr:col>8</xdr:col>
      <xdr:colOff>742043</xdr:colOff>
      <xdr:row>117</xdr:row>
      <xdr:rowOff>103824</xdr:rowOff>
    </xdr:to>
    <xdr:pic>
      <xdr:nvPicPr>
        <xdr:cNvPr id="18" name="Picture 17">
          <a:extLst>
            <a:ext uri="{FF2B5EF4-FFF2-40B4-BE49-F238E27FC236}">
              <a16:creationId xmlns:a16="http://schemas.microsoft.com/office/drawing/2014/main" id="{C0920295-0BA3-7488-80F0-F90AD2F93338}"/>
            </a:ext>
          </a:extLst>
        </xdr:cNvPr>
        <xdr:cNvPicPr>
          <a:picLocks noChangeAspect="1"/>
        </xdr:cNvPicPr>
      </xdr:nvPicPr>
      <xdr:blipFill>
        <a:blip xmlns:r="http://schemas.openxmlformats.org/officeDocument/2006/relationships" r:embed="rId10"/>
        <a:stretch>
          <a:fillRect/>
        </a:stretch>
      </xdr:blipFill>
      <xdr:spPr>
        <a:xfrm>
          <a:off x="0" y="20047857"/>
          <a:ext cx="7772400" cy="3981860"/>
        </a:xfrm>
        <a:prstGeom prst="rect">
          <a:avLst/>
        </a:prstGeom>
      </xdr:spPr>
    </xdr:pic>
    <xdr:clientData/>
  </xdr:twoCellAnchor>
  <xdr:twoCellAnchor editAs="oneCell">
    <xdr:from>
      <xdr:col>0</xdr:col>
      <xdr:colOff>1</xdr:colOff>
      <xdr:row>123</xdr:row>
      <xdr:rowOff>0</xdr:rowOff>
    </xdr:from>
    <xdr:to>
      <xdr:col>8</xdr:col>
      <xdr:colOff>740533</xdr:colOff>
      <xdr:row>143</xdr:row>
      <xdr:rowOff>78377</xdr:rowOff>
    </xdr:to>
    <xdr:pic>
      <xdr:nvPicPr>
        <xdr:cNvPr id="19" name="Picture 18">
          <a:extLst>
            <a:ext uri="{FF2B5EF4-FFF2-40B4-BE49-F238E27FC236}">
              <a16:creationId xmlns:a16="http://schemas.microsoft.com/office/drawing/2014/main" id="{0EDD9490-BD84-8137-EE66-D05F7FD1DEF1}"/>
            </a:ext>
          </a:extLst>
        </xdr:cNvPr>
        <xdr:cNvPicPr>
          <a:picLocks noChangeAspect="1"/>
        </xdr:cNvPicPr>
      </xdr:nvPicPr>
      <xdr:blipFill>
        <a:blip xmlns:r="http://schemas.openxmlformats.org/officeDocument/2006/relationships" r:embed="rId11"/>
        <a:stretch>
          <a:fillRect/>
        </a:stretch>
      </xdr:blipFill>
      <xdr:spPr>
        <a:xfrm>
          <a:off x="1" y="25150536"/>
          <a:ext cx="7770889" cy="4160520"/>
        </a:xfrm>
        <a:prstGeom prst="rect">
          <a:avLst/>
        </a:prstGeom>
      </xdr:spPr>
    </xdr:pic>
    <xdr:clientData/>
  </xdr:twoCellAnchor>
  <xdr:twoCellAnchor editAs="oneCell">
    <xdr:from>
      <xdr:col>0</xdr:col>
      <xdr:colOff>0</xdr:colOff>
      <xdr:row>146</xdr:row>
      <xdr:rowOff>0</xdr:rowOff>
    </xdr:from>
    <xdr:to>
      <xdr:col>8</xdr:col>
      <xdr:colOff>742043</xdr:colOff>
      <xdr:row>164</xdr:row>
      <xdr:rowOff>34548</xdr:rowOff>
    </xdr:to>
    <xdr:pic>
      <xdr:nvPicPr>
        <xdr:cNvPr id="20" name="Picture 19">
          <a:extLst>
            <a:ext uri="{FF2B5EF4-FFF2-40B4-BE49-F238E27FC236}">
              <a16:creationId xmlns:a16="http://schemas.microsoft.com/office/drawing/2014/main" id="{6A6FF4FA-E70C-10DE-C867-3F970B581ADA}"/>
            </a:ext>
          </a:extLst>
        </xdr:cNvPr>
        <xdr:cNvPicPr>
          <a:picLocks noChangeAspect="1"/>
        </xdr:cNvPicPr>
      </xdr:nvPicPr>
      <xdr:blipFill>
        <a:blip xmlns:r="http://schemas.openxmlformats.org/officeDocument/2006/relationships" r:embed="rId12"/>
        <a:stretch>
          <a:fillRect/>
        </a:stretch>
      </xdr:blipFill>
      <xdr:spPr>
        <a:xfrm>
          <a:off x="0" y="29845000"/>
          <a:ext cx="7772400" cy="3708477"/>
        </a:xfrm>
        <a:prstGeom prst="rect">
          <a:avLst/>
        </a:prstGeom>
      </xdr:spPr>
    </xdr:pic>
    <xdr:clientData/>
  </xdr:twoCellAnchor>
  <xdr:twoCellAnchor editAs="oneCell">
    <xdr:from>
      <xdr:col>0</xdr:col>
      <xdr:colOff>0</xdr:colOff>
      <xdr:row>170</xdr:row>
      <xdr:rowOff>0</xdr:rowOff>
    </xdr:from>
    <xdr:to>
      <xdr:col>8</xdr:col>
      <xdr:colOff>742043</xdr:colOff>
      <xdr:row>180</xdr:row>
      <xdr:rowOff>176243</xdr:rowOff>
    </xdr:to>
    <xdr:pic>
      <xdr:nvPicPr>
        <xdr:cNvPr id="21" name="Picture 20">
          <a:extLst>
            <a:ext uri="{FF2B5EF4-FFF2-40B4-BE49-F238E27FC236}">
              <a16:creationId xmlns:a16="http://schemas.microsoft.com/office/drawing/2014/main" id="{93A85F10-D5EB-1F16-D15B-C786EB61709C}"/>
            </a:ext>
          </a:extLst>
        </xdr:cNvPr>
        <xdr:cNvPicPr>
          <a:picLocks noChangeAspect="1"/>
        </xdr:cNvPicPr>
      </xdr:nvPicPr>
      <xdr:blipFill>
        <a:blip xmlns:r="http://schemas.openxmlformats.org/officeDocument/2006/relationships" r:embed="rId13"/>
        <a:stretch>
          <a:fillRect/>
        </a:stretch>
      </xdr:blipFill>
      <xdr:spPr>
        <a:xfrm>
          <a:off x="0" y="34743571"/>
          <a:ext cx="7772400" cy="2217315"/>
        </a:xfrm>
        <a:prstGeom prst="rect">
          <a:avLst/>
        </a:prstGeom>
      </xdr:spPr>
    </xdr:pic>
    <xdr:clientData/>
  </xdr:twoCellAnchor>
  <xdr:twoCellAnchor editAs="oneCell">
    <xdr:from>
      <xdr:col>0</xdr:col>
      <xdr:colOff>0</xdr:colOff>
      <xdr:row>183</xdr:row>
      <xdr:rowOff>0</xdr:rowOff>
    </xdr:from>
    <xdr:to>
      <xdr:col>8</xdr:col>
      <xdr:colOff>742043</xdr:colOff>
      <xdr:row>190</xdr:row>
      <xdr:rowOff>27142</xdr:rowOff>
    </xdr:to>
    <xdr:pic>
      <xdr:nvPicPr>
        <xdr:cNvPr id="22" name="Picture 21">
          <a:extLst>
            <a:ext uri="{FF2B5EF4-FFF2-40B4-BE49-F238E27FC236}">
              <a16:creationId xmlns:a16="http://schemas.microsoft.com/office/drawing/2014/main" id="{25A43767-98F4-AED6-4DAC-C2D75E55C487}"/>
            </a:ext>
          </a:extLst>
        </xdr:cNvPr>
        <xdr:cNvPicPr>
          <a:picLocks noChangeAspect="1"/>
        </xdr:cNvPicPr>
      </xdr:nvPicPr>
      <xdr:blipFill>
        <a:blip xmlns:r="http://schemas.openxmlformats.org/officeDocument/2006/relationships" r:embed="rId14"/>
        <a:stretch>
          <a:fillRect/>
        </a:stretch>
      </xdr:blipFill>
      <xdr:spPr>
        <a:xfrm>
          <a:off x="0" y="37396964"/>
          <a:ext cx="7772400" cy="1455892"/>
        </a:xfrm>
        <a:prstGeom prst="rect">
          <a:avLst/>
        </a:prstGeom>
      </xdr:spPr>
    </xdr:pic>
    <xdr:clientData/>
  </xdr:twoCellAnchor>
  <xdr:twoCellAnchor editAs="oneCell">
    <xdr:from>
      <xdr:col>9</xdr:col>
      <xdr:colOff>0</xdr:colOff>
      <xdr:row>202</xdr:row>
      <xdr:rowOff>0</xdr:rowOff>
    </xdr:from>
    <xdr:to>
      <xdr:col>16</xdr:col>
      <xdr:colOff>101600</xdr:colOff>
      <xdr:row>205</xdr:row>
      <xdr:rowOff>38100</xdr:rowOff>
    </xdr:to>
    <xdr:pic>
      <xdr:nvPicPr>
        <xdr:cNvPr id="24" name="Picture 23">
          <a:extLst>
            <a:ext uri="{FF2B5EF4-FFF2-40B4-BE49-F238E27FC236}">
              <a16:creationId xmlns:a16="http://schemas.microsoft.com/office/drawing/2014/main" id="{153FF735-CE41-9240-C69D-95A49EE10EA6}"/>
            </a:ext>
          </a:extLst>
        </xdr:cNvPr>
        <xdr:cNvPicPr>
          <a:picLocks noChangeAspect="1" noChangeArrowheads="1"/>
        </xdr:cNvPicPr>
      </xdr:nvPicPr>
      <xdr:blipFill>
        <a:blip xmlns:r="http://schemas.openxmlformats.org/officeDocument/2006/relationships" r:embed="rId15">
          <a:extLst>
            <a:ext uri="{28A0092B-C50C-407E-A947-70E740481C1C}">
              <a14:useLocalDpi xmlns:a14="http://schemas.microsoft.com/office/drawing/2010/main" val="0"/>
            </a:ext>
          </a:extLst>
        </a:blip>
        <a:srcRect/>
        <a:stretch>
          <a:fillRect/>
        </a:stretch>
      </xdr:blipFill>
      <xdr:spPr bwMode="auto">
        <a:xfrm>
          <a:off x="7835900" y="41097200"/>
          <a:ext cx="6007100" cy="647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9</xdr:col>
      <xdr:colOff>90715</xdr:colOff>
      <xdr:row>196</xdr:row>
      <xdr:rowOff>11339</xdr:rowOff>
    </xdr:from>
    <xdr:to>
      <xdr:col>16</xdr:col>
      <xdr:colOff>192315</xdr:colOff>
      <xdr:row>199</xdr:row>
      <xdr:rowOff>49439</xdr:rowOff>
    </xdr:to>
    <xdr:pic>
      <xdr:nvPicPr>
        <xdr:cNvPr id="25" name="Picture 24">
          <a:extLst>
            <a:ext uri="{FF2B5EF4-FFF2-40B4-BE49-F238E27FC236}">
              <a16:creationId xmlns:a16="http://schemas.microsoft.com/office/drawing/2014/main" id="{EAF6E75E-76E1-B24C-26A5-C695427D7C1A}"/>
            </a:ext>
          </a:extLst>
        </xdr:cNvPr>
        <xdr:cNvPicPr>
          <a:picLocks noChangeAspect="1" noChangeArrowheads="1"/>
        </xdr:cNvPicPr>
      </xdr:nvPicPr>
      <xdr:blipFill>
        <a:blip xmlns:r="http://schemas.openxmlformats.org/officeDocument/2006/relationships" r:embed="rId16">
          <a:extLst>
            <a:ext uri="{28A0092B-C50C-407E-A947-70E740481C1C}">
              <a14:useLocalDpi xmlns:a14="http://schemas.microsoft.com/office/drawing/2010/main" val="0"/>
            </a:ext>
          </a:extLst>
        </a:blip>
        <a:srcRect/>
        <a:stretch>
          <a:fillRect/>
        </a:stretch>
      </xdr:blipFill>
      <xdr:spPr bwMode="auto">
        <a:xfrm>
          <a:off x="7948840" y="40061696"/>
          <a:ext cx="6020707" cy="650422"/>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782410</xdr:colOff>
      <xdr:row>209</xdr:row>
      <xdr:rowOff>56696</xdr:rowOff>
    </xdr:from>
    <xdr:to>
      <xdr:col>13</xdr:col>
      <xdr:colOff>374195</xdr:colOff>
      <xdr:row>212</xdr:row>
      <xdr:rowOff>45738</xdr:rowOff>
    </xdr:to>
    <xdr:pic>
      <xdr:nvPicPr>
        <xdr:cNvPr id="26" name="Picture 25">
          <a:extLst>
            <a:ext uri="{FF2B5EF4-FFF2-40B4-BE49-F238E27FC236}">
              <a16:creationId xmlns:a16="http://schemas.microsoft.com/office/drawing/2014/main" id="{E2EF9AA7-F044-A1A8-2C1B-2BE824BCBAAB}"/>
            </a:ext>
          </a:extLst>
        </xdr:cNvPr>
        <xdr:cNvPicPr>
          <a:picLocks noChangeAspect="1" noChangeArrowheads="1"/>
        </xdr:cNvPicPr>
      </xdr:nvPicPr>
      <xdr:blipFill>
        <a:blip xmlns:r="http://schemas.openxmlformats.org/officeDocument/2006/relationships" r:embed="rId17">
          <a:extLst>
            <a:ext uri="{28A0092B-C50C-407E-A947-70E740481C1C}">
              <a14:useLocalDpi xmlns:a14="http://schemas.microsoft.com/office/drawing/2010/main" val="0"/>
            </a:ext>
          </a:extLst>
        </a:blip>
        <a:srcRect/>
        <a:stretch>
          <a:fillRect/>
        </a:stretch>
      </xdr:blipFill>
      <xdr:spPr bwMode="auto">
        <a:xfrm>
          <a:off x="7812767" y="42760446"/>
          <a:ext cx="3855357" cy="601363"/>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2</xdr:row>
      <xdr:rowOff>50800</xdr:rowOff>
    </xdr:from>
    <xdr:to>
      <xdr:col>0</xdr:col>
      <xdr:colOff>1295400</xdr:colOff>
      <xdr:row>4</xdr:row>
      <xdr:rowOff>13229</xdr:rowOff>
    </xdr:to>
    <xdr:pic>
      <xdr:nvPicPr>
        <xdr:cNvPr id="14" name="Picture 13">
          <a:extLst>
            <a:ext uri="{FF2B5EF4-FFF2-40B4-BE49-F238E27FC236}">
              <a16:creationId xmlns:a16="http://schemas.microsoft.com/office/drawing/2014/main" id="{FF859FE0-0FD7-A9A7-7C36-AED40CD92BA3}"/>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584200"/>
          <a:ext cx="1295400" cy="36882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5</xdr:row>
      <xdr:rowOff>0</xdr:rowOff>
    </xdr:from>
    <xdr:to>
      <xdr:col>1</xdr:col>
      <xdr:colOff>374650</xdr:colOff>
      <xdr:row>6</xdr:row>
      <xdr:rowOff>2669</xdr:rowOff>
    </xdr:to>
    <xdr:pic>
      <xdr:nvPicPr>
        <xdr:cNvPr id="15" name="Picture 14">
          <a:extLst>
            <a:ext uri="{FF2B5EF4-FFF2-40B4-BE49-F238E27FC236}">
              <a16:creationId xmlns:a16="http://schemas.microsoft.com/office/drawing/2014/main" id="{05786F11-1516-D722-5911-C3E0D13BE378}"/>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1143000"/>
          <a:ext cx="3232150" cy="205869"/>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7</xdr:row>
      <xdr:rowOff>0</xdr:rowOff>
    </xdr:from>
    <xdr:to>
      <xdr:col>0</xdr:col>
      <xdr:colOff>2076450</xdr:colOff>
      <xdr:row>8</xdr:row>
      <xdr:rowOff>144254</xdr:rowOff>
    </xdr:to>
    <xdr:pic>
      <xdr:nvPicPr>
        <xdr:cNvPr id="16" name="Picture 15">
          <a:extLst>
            <a:ext uri="{FF2B5EF4-FFF2-40B4-BE49-F238E27FC236}">
              <a16:creationId xmlns:a16="http://schemas.microsoft.com/office/drawing/2014/main" id="{DEB9E3F6-D55A-3E1A-A6FB-14B5F283A8F6}"/>
            </a:ext>
          </a:extLst>
        </xdr:cNvPr>
        <xdr:cNvPicPr>
          <a:picLocks noChangeAspect="1" noChangeArrowheads="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0" y="1549400"/>
          <a:ext cx="2076450" cy="34745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10</xdr:row>
      <xdr:rowOff>63500</xdr:rowOff>
    </xdr:from>
    <xdr:to>
      <xdr:col>0</xdr:col>
      <xdr:colOff>2203450</xdr:colOff>
      <xdr:row>11</xdr:row>
      <xdr:rowOff>169815</xdr:rowOff>
    </xdr:to>
    <xdr:pic>
      <xdr:nvPicPr>
        <xdr:cNvPr id="17" name="Picture 16">
          <a:extLst>
            <a:ext uri="{FF2B5EF4-FFF2-40B4-BE49-F238E27FC236}">
              <a16:creationId xmlns:a16="http://schemas.microsoft.com/office/drawing/2014/main" id="{08CFDD41-6EE2-9D29-B9CD-1726F414E8E0}"/>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0" y="2222500"/>
          <a:ext cx="2203450" cy="30951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xdr:row>
      <xdr:rowOff>114300</xdr:rowOff>
    </xdr:from>
    <xdr:to>
      <xdr:col>4</xdr:col>
      <xdr:colOff>609600</xdr:colOff>
      <xdr:row>15</xdr:row>
      <xdr:rowOff>101600</xdr:rowOff>
    </xdr:to>
    <xdr:pic>
      <xdr:nvPicPr>
        <xdr:cNvPr id="18" name="Picture 17">
          <a:extLst>
            <a:ext uri="{FF2B5EF4-FFF2-40B4-BE49-F238E27FC236}">
              <a16:creationId xmlns:a16="http://schemas.microsoft.com/office/drawing/2014/main" id="{3B5963D8-A1C6-50B8-4245-622BB593735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0" y="2882900"/>
          <a:ext cx="6019800" cy="3937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4</xdr:col>
      <xdr:colOff>714376</xdr:colOff>
      <xdr:row>3</xdr:row>
      <xdr:rowOff>28575</xdr:rowOff>
    </xdr:from>
    <xdr:to>
      <xdr:col>9</xdr:col>
      <xdr:colOff>771525</xdr:colOff>
      <xdr:row>14</xdr:row>
      <xdr:rowOff>51063</xdr:rowOff>
    </xdr:to>
    <xdr:graphicFrame macro="">
      <xdr:nvGraphicFramePr>
        <xdr:cNvPr id="3" name="Chart 2">
          <a:extLst>
            <a:ext uri="{FF2B5EF4-FFF2-40B4-BE49-F238E27FC236}">
              <a16:creationId xmlns:a16="http://schemas.microsoft.com/office/drawing/2014/main" id="{1ACBDBE7-B123-AA46-AF84-05B4D5D5BEC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10</xdr:col>
      <xdr:colOff>257174</xdr:colOff>
      <xdr:row>3</xdr:row>
      <xdr:rowOff>47626</xdr:rowOff>
    </xdr:from>
    <xdr:to>
      <xdr:col>13</xdr:col>
      <xdr:colOff>781049</xdr:colOff>
      <xdr:row>14</xdr:row>
      <xdr:rowOff>123825</xdr:rowOff>
    </xdr:to>
    <mc:AlternateContent xmlns:mc="http://schemas.openxmlformats.org/markup-compatibility/2006">
      <mc:Choice xmlns:cx1="http://schemas.microsoft.com/office/drawing/2015/9/8/chartex" Requires="cx1">
        <xdr:graphicFrame macro="">
          <xdr:nvGraphicFramePr>
            <xdr:cNvPr id="4" name="Chart 3">
              <a:extLst>
                <a:ext uri="{FF2B5EF4-FFF2-40B4-BE49-F238E27FC236}">
                  <a16:creationId xmlns:a16="http://schemas.microsoft.com/office/drawing/2014/main" id="{83845F1F-A706-7645-9E00-76F0EDC6E2BD}"/>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7242174" y="619126"/>
              <a:ext cx="2543175" cy="2171699"/>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666358</xdr:colOff>
      <xdr:row>19</xdr:row>
      <xdr:rowOff>145654</xdr:rowOff>
    </xdr:from>
    <xdr:to>
      <xdr:col>1</xdr:col>
      <xdr:colOff>905620</xdr:colOff>
      <xdr:row>22</xdr:row>
      <xdr:rowOff>107241</xdr:rowOff>
    </xdr:to>
    <xdr:pic>
      <xdr:nvPicPr>
        <xdr:cNvPr id="5" name="Picture 4">
          <a:extLst>
            <a:ext uri="{FF2B5EF4-FFF2-40B4-BE49-F238E27FC236}">
              <a16:creationId xmlns:a16="http://schemas.microsoft.com/office/drawing/2014/main" id="{A437DA54-A586-75CF-44E5-58068CD1AB53}"/>
            </a:ext>
          </a:extLst>
        </xdr:cNvPr>
        <xdr:cNvPicPr>
          <a:picLocks noChangeAspect="1"/>
        </xdr:cNvPicPr>
      </xdr:nvPicPr>
      <xdr:blipFill>
        <a:blip xmlns:r="http://schemas.openxmlformats.org/officeDocument/2006/relationships" r:embed="rId1"/>
        <a:stretch>
          <a:fillRect/>
        </a:stretch>
      </xdr:blipFill>
      <xdr:spPr>
        <a:xfrm>
          <a:off x="666358" y="5280531"/>
          <a:ext cx="1062410" cy="573068"/>
        </a:xfrm>
        <a:prstGeom prst="rect">
          <a:avLst/>
        </a:prstGeom>
      </xdr:spPr>
    </xdr:pic>
    <xdr:clientData/>
  </xdr:twoCellAnchor>
  <xdr:twoCellAnchor editAs="oneCell">
    <xdr:from>
      <xdr:col>0</xdr:col>
      <xdr:colOff>680469</xdr:colOff>
      <xdr:row>27</xdr:row>
      <xdr:rowOff>3771</xdr:rowOff>
    </xdr:from>
    <xdr:to>
      <xdr:col>1</xdr:col>
      <xdr:colOff>917537</xdr:colOff>
      <xdr:row>29</xdr:row>
      <xdr:rowOff>200971</xdr:rowOff>
    </xdr:to>
    <xdr:pic>
      <xdr:nvPicPr>
        <xdr:cNvPr id="6" name="Picture 5">
          <a:extLst>
            <a:ext uri="{FF2B5EF4-FFF2-40B4-BE49-F238E27FC236}">
              <a16:creationId xmlns:a16="http://schemas.microsoft.com/office/drawing/2014/main" id="{8438A8FF-D59E-17D3-6F4A-311558DC3D0B}"/>
            </a:ext>
          </a:extLst>
        </xdr:cNvPr>
        <xdr:cNvPicPr>
          <a:picLocks noChangeAspect="1"/>
        </xdr:cNvPicPr>
      </xdr:nvPicPr>
      <xdr:blipFill>
        <a:blip xmlns:r="http://schemas.openxmlformats.org/officeDocument/2006/relationships" r:embed="rId2"/>
        <a:stretch>
          <a:fillRect/>
        </a:stretch>
      </xdr:blipFill>
      <xdr:spPr>
        <a:xfrm>
          <a:off x="680469" y="7286672"/>
          <a:ext cx="1060216" cy="604855"/>
        </a:xfrm>
        <a:prstGeom prst="rect">
          <a:avLst/>
        </a:prstGeom>
      </xdr:spPr>
    </xdr:pic>
    <xdr:clientData/>
  </xdr:twoCellAnchor>
  <xdr:twoCellAnchor editAs="oneCell">
    <xdr:from>
      <xdr:col>0</xdr:col>
      <xdr:colOff>658520</xdr:colOff>
      <xdr:row>33</xdr:row>
      <xdr:rowOff>179392</xdr:rowOff>
    </xdr:from>
    <xdr:to>
      <xdr:col>2</xdr:col>
      <xdr:colOff>744756</xdr:colOff>
      <xdr:row>37</xdr:row>
      <xdr:rowOff>157194</xdr:rowOff>
    </xdr:to>
    <xdr:pic>
      <xdr:nvPicPr>
        <xdr:cNvPr id="7" name="Picture 6">
          <a:extLst>
            <a:ext uri="{FF2B5EF4-FFF2-40B4-BE49-F238E27FC236}">
              <a16:creationId xmlns:a16="http://schemas.microsoft.com/office/drawing/2014/main" id="{7DB79ADE-32B5-CAAC-E3E7-0AC521DB69D6}"/>
            </a:ext>
          </a:extLst>
        </xdr:cNvPr>
        <xdr:cNvPicPr>
          <a:picLocks noChangeAspect="1"/>
        </xdr:cNvPicPr>
      </xdr:nvPicPr>
      <xdr:blipFill>
        <a:blip xmlns:r="http://schemas.openxmlformats.org/officeDocument/2006/relationships" r:embed="rId3"/>
        <a:stretch>
          <a:fillRect/>
        </a:stretch>
      </xdr:blipFill>
      <xdr:spPr>
        <a:xfrm>
          <a:off x="658520" y="9124269"/>
          <a:ext cx="1952038" cy="793110"/>
        </a:xfrm>
        <a:prstGeom prst="rect">
          <a:avLst/>
        </a:prstGeom>
      </xdr:spPr>
    </xdr:pic>
    <xdr:clientData/>
  </xdr:twoCellAnchor>
  <xdr:twoCellAnchor editAs="oneCell">
    <xdr:from>
      <xdr:col>0</xdr:col>
      <xdr:colOff>0</xdr:colOff>
      <xdr:row>42</xdr:row>
      <xdr:rowOff>2510</xdr:rowOff>
    </xdr:from>
    <xdr:to>
      <xdr:col>4</xdr:col>
      <xdr:colOff>344681</xdr:colOff>
      <xdr:row>45</xdr:row>
      <xdr:rowOff>164630</xdr:rowOff>
    </xdr:to>
    <xdr:pic>
      <xdr:nvPicPr>
        <xdr:cNvPr id="8" name="Picture 7">
          <a:extLst>
            <a:ext uri="{FF2B5EF4-FFF2-40B4-BE49-F238E27FC236}">
              <a16:creationId xmlns:a16="http://schemas.microsoft.com/office/drawing/2014/main" id="{32169CB0-B0CC-3E79-298C-FC2E6A44A4DC}"/>
            </a:ext>
          </a:extLst>
        </xdr:cNvPr>
        <xdr:cNvPicPr>
          <a:picLocks noChangeAspect="1"/>
        </xdr:cNvPicPr>
      </xdr:nvPicPr>
      <xdr:blipFill>
        <a:blip xmlns:r="http://schemas.openxmlformats.org/officeDocument/2006/relationships" r:embed="rId4"/>
        <a:stretch>
          <a:fillRect/>
        </a:stretch>
      </xdr:blipFill>
      <xdr:spPr>
        <a:xfrm>
          <a:off x="0" y="11197325"/>
          <a:ext cx="4099804" cy="773601"/>
        </a:xfrm>
        <a:prstGeom prst="rect">
          <a:avLst/>
        </a:prstGeom>
      </xdr:spPr>
    </xdr:pic>
    <xdr:clientData/>
  </xdr:twoCellAnchor>
  <xdr:twoCellAnchor editAs="oneCell">
    <xdr:from>
      <xdr:col>0</xdr:col>
      <xdr:colOff>0</xdr:colOff>
      <xdr:row>49</xdr:row>
      <xdr:rowOff>86234</xdr:rowOff>
    </xdr:from>
    <xdr:to>
      <xdr:col>6</xdr:col>
      <xdr:colOff>640801</xdr:colOff>
      <xdr:row>53</xdr:row>
      <xdr:rowOff>196267</xdr:rowOff>
    </xdr:to>
    <xdr:pic>
      <xdr:nvPicPr>
        <xdr:cNvPr id="9" name="Picture 8">
          <a:extLst>
            <a:ext uri="{FF2B5EF4-FFF2-40B4-BE49-F238E27FC236}">
              <a16:creationId xmlns:a16="http://schemas.microsoft.com/office/drawing/2014/main" id="{71BDB04A-AE36-5A45-9D01-73E8CBDCCD5E}"/>
            </a:ext>
          </a:extLst>
        </xdr:cNvPr>
        <xdr:cNvPicPr>
          <a:picLocks noChangeAspect="1"/>
        </xdr:cNvPicPr>
      </xdr:nvPicPr>
      <xdr:blipFill>
        <a:blip xmlns:r="http://schemas.openxmlformats.org/officeDocument/2006/relationships" r:embed="rId5"/>
        <a:stretch>
          <a:fillRect/>
        </a:stretch>
      </xdr:blipFill>
      <xdr:spPr>
        <a:xfrm>
          <a:off x="0" y="12833271"/>
          <a:ext cx="5932468" cy="925342"/>
        </a:xfrm>
        <a:prstGeom prst="rect">
          <a:avLst/>
        </a:prstGeom>
      </xdr:spPr>
    </xdr:pic>
    <xdr:clientData/>
  </xdr:twoCellAnchor>
  <xdr:twoCellAnchor editAs="oneCell">
    <xdr:from>
      <xdr:col>0</xdr:col>
      <xdr:colOff>0</xdr:colOff>
      <xdr:row>68</xdr:row>
      <xdr:rowOff>203827</xdr:rowOff>
    </xdr:from>
    <xdr:to>
      <xdr:col>5</xdr:col>
      <xdr:colOff>117592</xdr:colOff>
      <xdr:row>72</xdr:row>
      <xdr:rowOff>97181</xdr:rowOff>
    </xdr:to>
    <xdr:pic>
      <xdr:nvPicPr>
        <xdr:cNvPr id="10" name="Picture 9">
          <a:extLst>
            <a:ext uri="{FF2B5EF4-FFF2-40B4-BE49-F238E27FC236}">
              <a16:creationId xmlns:a16="http://schemas.microsoft.com/office/drawing/2014/main" id="{A3B8B534-0A09-2919-BE3D-D8684964BB49}"/>
            </a:ext>
          </a:extLst>
        </xdr:cNvPr>
        <xdr:cNvPicPr>
          <a:picLocks noChangeAspect="1"/>
        </xdr:cNvPicPr>
      </xdr:nvPicPr>
      <xdr:blipFill>
        <a:blip xmlns:r="http://schemas.openxmlformats.org/officeDocument/2006/relationships" r:embed="rId6"/>
        <a:stretch>
          <a:fillRect/>
        </a:stretch>
      </xdr:blipFill>
      <xdr:spPr>
        <a:xfrm>
          <a:off x="0" y="17074444"/>
          <a:ext cx="4695864" cy="708663"/>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217094</xdr:colOff>
      <xdr:row>3</xdr:row>
      <xdr:rowOff>32565</xdr:rowOff>
    </xdr:from>
    <xdr:to>
      <xdr:col>8</xdr:col>
      <xdr:colOff>395617</xdr:colOff>
      <xdr:row>24</xdr:row>
      <xdr:rowOff>82211</xdr:rowOff>
    </xdr:to>
    <xdr:pic>
      <xdr:nvPicPr>
        <xdr:cNvPr id="2" name="Picture 1">
          <a:extLst>
            <a:ext uri="{FF2B5EF4-FFF2-40B4-BE49-F238E27FC236}">
              <a16:creationId xmlns:a16="http://schemas.microsoft.com/office/drawing/2014/main" id="{D07B6D77-61C9-90F1-E9E5-27A2232E41F7}"/>
            </a:ext>
          </a:extLst>
        </xdr:cNvPr>
        <xdr:cNvPicPr>
          <a:picLocks noChangeAspect="1"/>
        </xdr:cNvPicPr>
      </xdr:nvPicPr>
      <xdr:blipFill>
        <a:blip xmlns:r="http://schemas.openxmlformats.org/officeDocument/2006/relationships" r:embed="rId1"/>
        <a:stretch>
          <a:fillRect/>
        </a:stretch>
      </xdr:blipFill>
      <xdr:spPr>
        <a:xfrm>
          <a:off x="217094" y="770685"/>
          <a:ext cx="7501392" cy="4380671"/>
        </a:xfrm>
        <a:prstGeom prst="rect">
          <a:avLst/>
        </a:prstGeom>
      </xdr:spPr>
    </xdr:pic>
    <xdr:clientData/>
  </xdr:twoCellAnchor>
  <xdr:twoCellAnchor editAs="oneCell">
    <xdr:from>
      <xdr:col>0</xdr:col>
      <xdr:colOff>1</xdr:colOff>
      <xdr:row>39</xdr:row>
      <xdr:rowOff>108547</xdr:rowOff>
    </xdr:from>
    <xdr:to>
      <xdr:col>9</xdr:col>
      <xdr:colOff>467122</xdr:colOff>
      <xdr:row>68</xdr:row>
      <xdr:rowOff>132080</xdr:rowOff>
    </xdr:to>
    <xdr:pic>
      <xdr:nvPicPr>
        <xdr:cNvPr id="3" name="Picture 2">
          <a:extLst>
            <a:ext uri="{FF2B5EF4-FFF2-40B4-BE49-F238E27FC236}">
              <a16:creationId xmlns:a16="http://schemas.microsoft.com/office/drawing/2014/main" id="{D1559C05-1FF5-D9CF-D11A-3E223E795E17}"/>
            </a:ext>
          </a:extLst>
        </xdr:cNvPr>
        <xdr:cNvPicPr>
          <a:picLocks noChangeAspect="1"/>
        </xdr:cNvPicPr>
      </xdr:nvPicPr>
      <xdr:blipFill>
        <a:blip xmlns:r="http://schemas.openxmlformats.org/officeDocument/2006/relationships" r:embed="rId2"/>
        <a:stretch>
          <a:fillRect/>
        </a:stretch>
      </xdr:blipFill>
      <xdr:spPr>
        <a:xfrm>
          <a:off x="1" y="8297507"/>
          <a:ext cx="8594975" cy="5916333"/>
        </a:xfrm>
        <a:prstGeom prst="rect">
          <a:avLst/>
        </a:prstGeom>
      </xdr:spPr>
    </xdr:pic>
    <xdr:clientData/>
  </xdr:twoCellAnchor>
  <xdr:twoCellAnchor editAs="oneCell">
    <xdr:from>
      <xdr:col>4</xdr:col>
      <xdr:colOff>468627</xdr:colOff>
      <xdr:row>41</xdr:row>
      <xdr:rowOff>167120</xdr:rowOff>
    </xdr:from>
    <xdr:to>
      <xdr:col>10</xdr:col>
      <xdr:colOff>220689</xdr:colOff>
      <xdr:row>49</xdr:row>
      <xdr:rowOff>89160</xdr:rowOff>
    </xdr:to>
    <mc:AlternateContent xmlns:mc="http://schemas.openxmlformats.org/markup-compatibility/2006">
      <mc:Choice xmlns:xdr14="http://schemas.microsoft.com/office/excel/2010/spreadsheetDrawing" Requires="xdr14">
        <xdr:contentPart xmlns:r="http://schemas.openxmlformats.org/officeDocument/2006/relationships" r:id="rId3">
          <xdr14:nvContentPartPr>
            <xdr14:cNvPr id="9" name="Ink 8">
              <a:extLst>
                <a:ext uri="{FF2B5EF4-FFF2-40B4-BE49-F238E27FC236}">
                  <a16:creationId xmlns:a16="http://schemas.microsoft.com/office/drawing/2014/main" id="{D09485E8-CAD1-8ADC-8A32-E4EB3F7E7A90}"/>
                </a:ext>
              </a:extLst>
            </xdr14:cNvPr>
            <xdr14:cNvContentPartPr/>
          </xdr14:nvContentPartPr>
          <xdr14:nvPr macro=""/>
          <xdr14:xfrm>
            <a:off x="3787560" y="8752320"/>
            <a:ext cx="5395680" cy="1547640"/>
          </xdr14:xfrm>
        </xdr:contentPart>
      </mc:Choice>
      <mc:Fallback>
        <xdr:pic>
          <xdr:nvPicPr>
            <xdr:cNvPr id="9" name="Ink 8">
              <a:extLst>
                <a:ext uri="{FF2B5EF4-FFF2-40B4-BE49-F238E27FC236}">
                  <a16:creationId xmlns:a16="http://schemas.microsoft.com/office/drawing/2014/main" id="{D09485E8-CAD1-8ADC-8A32-E4EB3F7E7A90}"/>
                </a:ext>
              </a:extLst>
            </xdr:cNvPr>
            <xdr:cNvPicPr/>
          </xdr:nvPicPr>
          <xdr:blipFill>
            <a:blip xmlns:r="http://schemas.openxmlformats.org/officeDocument/2006/relationships" r:embed="rId4"/>
            <a:stretch>
              <a:fillRect/>
            </a:stretch>
          </xdr:blipFill>
          <xdr:spPr>
            <a:xfrm>
              <a:off x="3778872" y="8743680"/>
              <a:ext cx="5413418" cy="1565280"/>
            </a:xfrm>
            <a:prstGeom prst="rect">
              <a:avLst/>
            </a:prstGeom>
          </xdr:spPr>
        </xdr:pic>
      </mc:Fallback>
    </mc:AlternateContent>
    <xdr:clientData/>
  </xdr:twoCellAnchor>
  <xdr:twoCellAnchor editAs="oneCell">
    <xdr:from>
      <xdr:col>0</xdr:col>
      <xdr:colOff>0</xdr:colOff>
      <xdr:row>81</xdr:row>
      <xdr:rowOff>0</xdr:rowOff>
    </xdr:from>
    <xdr:to>
      <xdr:col>3</xdr:col>
      <xdr:colOff>668020</xdr:colOff>
      <xdr:row>86</xdr:row>
      <xdr:rowOff>165100</xdr:rowOff>
    </xdr:to>
    <xdr:pic>
      <xdr:nvPicPr>
        <xdr:cNvPr id="10" name="Picture 9">
          <a:extLst>
            <a:ext uri="{FF2B5EF4-FFF2-40B4-BE49-F238E27FC236}">
              <a16:creationId xmlns:a16="http://schemas.microsoft.com/office/drawing/2014/main" id="{2D0EF5D6-BA59-9CAD-3FAE-DC7A05118973}"/>
            </a:ext>
          </a:extLst>
        </xdr:cNvPr>
        <xdr:cNvPicPr>
          <a:picLocks noChangeAspect="1"/>
        </xdr:cNvPicPr>
      </xdr:nvPicPr>
      <xdr:blipFill>
        <a:blip xmlns:r="http://schemas.openxmlformats.org/officeDocument/2006/relationships" r:embed="rId5"/>
        <a:stretch>
          <a:fillRect/>
        </a:stretch>
      </xdr:blipFill>
      <xdr:spPr>
        <a:xfrm>
          <a:off x="0" y="16723360"/>
          <a:ext cx="3136900" cy="1181100"/>
        </a:xfrm>
        <a:prstGeom prst="rect">
          <a:avLst/>
        </a:prstGeom>
      </xdr:spPr>
    </xdr:pic>
    <xdr:clientData/>
  </xdr:twoCellAnchor>
  <xdr:oneCellAnchor>
    <xdr:from>
      <xdr:col>3</xdr:col>
      <xdr:colOff>9525</xdr:colOff>
      <xdr:row>106</xdr:row>
      <xdr:rowOff>109537</xdr:rowOff>
    </xdr:from>
    <xdr:ext cx="1216359" cy="317972"/>
    <mc:AlternateContent xmlns:mc="http://schemas.openxmlformats.org/markup-compatibility/2006">
      <mc:Choice xmlns:a14="http://schemas.microsoft.com/office/drawing/2010/main" Requires="a14">
        <xdr:sp macro="" textlink="">
          <xdr:nvSpPr>
            <xdr:cNvPr id="23" name="CuadroTexto 1">
              <a:extLst>
                <a:ext uri="{FF2B5EF4-FFF2-40B4-BE49-F238E27FC236}">
                  <a16:creationId xmlns:a16="http://schemas.microsoft.com/office/drawing/2014/main" id="{9A708A1A-8141-2646-9F15-87AB73FBD4C7}"/>
                </a:ext>
              </a:extLst>
            </xdr:cNvPr>
            <xdr:cNvSpPr txBox="1"/>
          </xdr:nvSpPr>
          <xdr:spPr>
            <a:xfrm>
              <a:off x="2790825" y="1506537"/>
              <a:ext cx="1216359" cy="317972"/>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𝑃</m:t>
                        </m:r>
                      </m:e>
                      <m:sub>
                        <m:r>
                          <a:rPr lang="es-AR" sz="1100" b="0" i="1">
                            <a:latin typeface="Cambria Math" panose="02040503050406030204" pitchFamily="18" charset="0"/>
                          </a:rPr>
                          <m:t>0</m:t>
                        </m:r>
                      </m:sub>
                    </m:sSub>
                    <m:r>
                      <a:rPr lang="es-AR" sz="1100" b="0" i="1">
                        <a:latin typeface="Cambria Math" panose="02040503050406030204" pitchFamily="18" charset="0"/>
                      </a:rPr>
                      <m:t>=</m:t>
                    </m:r>
                    <m:f>
                      <m:fPr>
                        <m:ctrlPr>
                          <a:rPr lang="es-AR" sz="1100" b="0" i="1">
                            <a:latin typeface="Cambria Math" panose="02040503050406030204" pitchFamily="18" charset="0"/>
                          </a:rPr>
                        </m:ctrlPr>
                      </m:fPr>
                      <m:num>
                        <m:sSub>
                          <m:sSubPr>
                            <m:ctrlPr>
                              <a:rPr lang="es-AR" sz="1100" b="0" i="1">
                                <a:latin typeface="Cambria Math" panose="02040503050406030204" pitchFamily="18" charset="0"/>
                              </a:rPr>
                            </m:ctrlPr>
                          </m:sSubPr>
                          <m:e>
                            <m:r>
                              <a:rPr lang="es-AR" sz="1100" b="0" i="1">
                                <a:latin typeface="Cambria Math" panose="02040503050406030204" pitchFamily="18" charset="0"/>
                              </a:rPr>
                              <m:t>𝐵𝑃𝐴</m:t>
                            </m:r>
                          </m:e>
                          <m:sub>
                            <m:r>
                              <a:rPr lang="es-AR" sz="1100" b="0" i="1">
                                <a:latin typeface="Cambria Math" panose="02040503050406030204" pitchFamily="18" charset="0"/>
                              </a:rPr>
                              <m:t>1</m:t>
                            </m:r>
                          </m:sub>
                        </m:sSub>
                      </m:num>
                      <m:den>
                        <m:r>
                          <a:rPr lang="es-AR" sz="1100" b="0" i="1">
                            <a:latin typeface="Cambria Math" panose="02040503050406030204" pitchFamily="18" charset="0"/>
                          </a:rPr>
                          <m:t>𝑘</m:t>
                        </m:r>
                      </m:den>
                    </m:f>
                    <m:r>
                      <a:rPr lang="es-AR" sz="1100" b="0" i="1">
                        <a:latin typeface="Cambria Math" panose="02040503050406030204" pitchFamily="18" charset="0"/>
                      </a:rPr>
                      <m:t>+</m:t>
                    </m:r>
                    <m:r>
                      <a:rPr lang="es-AR" sz="1100" b="0" i="1">
                        <a:latin typeface="Cambria Math" panose="02040503050406030204" pitchFamily="18" charset="0"/>
                      </a:rPr>
                      <m:t>𝑉𝐴𝑂𝐶</m:t>
                    </m:r>
                  </m:oMath>
                </m:oMathPara>
              </a14:m>
              <a:endParaRPr lang="es-AR" sz="1100"/>
            </a:p>
          </xdr:txBody>
        </xdr:sp>
      </mc:Choice>
      <mc:Fallback>
        <xdr:sp macro="" textlink="">
          <xdr:nvSpPr>
            <xdr:cNvPr id="23" name="CuadroTexto 1">
              <a:extLst>
                <a:ext uri="{FF2B5EF4-FFF2-40B4-BE49-F238E27FC236}">
                  <a16:creationId xmlns:a16="http://schemas.microsoft.com/office/drawing/2014/main" id="{9A708A1A-8141-2646-9F15-87AB73FBD4C7}"/>
                </a:ext>
              </a:extLst>
            </xdr:cNvPr>
            <xdr:cNvSpPr txBox="1"/>
          </xdr:nvSpPr>
          <xdr:spPr>
            <a:xfrm>
              <a:off x="2790825" y="1506537"/>
              <a:ext cx="1216359" cy="317972"/>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𝑃_0=〖𝐵𝑃𝐴〗_1/𝑘+𝑉𝐴𝑂𝐶</a:t>
              </a:r>
              <a:endParaRPr lang="es-AR" sz="1100"/>
            </a:p>
          </xdr:txBody>
        </xdr:sp>
      </mc:Fallback>
    </mc:AlternateContent>
    <xdr:clientData/>
  </xdr:oneCellAnchor>
  <xdr:oneCellAnchor>
    <xdr:from>
      <xdr:col>1</xdr:col>
      <xdr:colOff>553472</xdr:colOff>
      <xdr:row>125</xdr:row>
      <xdr:rowOff>33957</xdr:rowOff>
    </xdr:from>
    <xdr:ext cx="314189" cy="172227"/>
    <mc:AlternateContent xmlns:mc="http://schemas.openxmlformats.org/markup-compatibility/2006">
      <mc:Choice xmlns:a14="http://schemas.microsoft.com/office/drawing/2010/main" Requires="a14">
        <xdr:sp macro="" textlink="">
          <xdr:nvSpPr>
            <xdr:cNvPr id="24" name="CuadroTexto 2">
              <a:extLst>
                <a:ext uri="{FF2B5EF4-FFF2-40B4-BE49-F238E27FC236}">
                  <a16:creationId xmlns:a16="http://schemas.microsoft.com/office/drawing/2014/main" id="{25E22C9B-227A-674F-A28B-0B464B9A0DA7}"/>
                </a:ext>
              </a:extLst>
            </xdr:cNvPr>
            <xdr:cNvSpPr txBox="1"/>
          </xdr:nvSpPr>
          <xdr:spPr>
            <a:xfrm>
              <a:off x="1378242" y="25879187"/>
              <a:ext cx="3141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𝑃</m:t>
                        </m:r>
                      </m:e>
                      <m:sub>
                        <m:r>
                          <a:rPr lang="es-AR" sz="1100" b="0" i="1">
                            <a:latin typeface="Cambria Math" panose="02040503050406030204" pitchFamily="18" charset="0"/>
                          </a:rPr>
                          <m:t>0</m:t>
                        </m:r>
                      </m:sub>
                    </m:sSub>
                    <m:r>
                      <a:rPr lang="es-AR" sz="1100" b="0" i="1">
                        <a:latin typeface="Cambria Math" panose="02040503050406030204" pitchFamily="18" charset="0"/>
                      </a:rPr>
                      <m:t>=</m:t>
                    </m:r>
                  </m:oMath>
                </m:oMathPara>
              </a14:m>
              <a:endParaRPr lang="es-AR" sz="1100"/>
            </a:p>
          </xdr:txBody>
        </xdr:sp>
      </mc:Choice>
      <mc:Fallback>
        <xdr:sp macro="" textlink="">
          <xdr:nvSpPr>
            <xdr:cNvPr id="24" name="CuadroTexto 2">
              <a:extLst>
                <a:ext uri="{FF2B5EF4-FFF2-40B4-BE49-F238E27FC236}">
                  <a16:creationId xmlns:a16="http://schemas.microsoft.com/office/drawing/2014/main" id="{25E22C9B-227A-674F-A28B-0B464B9A0DA7}"/>
                </a:ext>
              </a:extLst>
            </xdr:cNvPr>
            <xdr:cNvSpPr txBox="1"/>
          </xdr:nvSpPr>
          <xdr:spPr>
            <a:xfrm>
              <a:off x="1378242" y="25879187"/>
              <a:ext cx="3141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𝑃_0=</a:t>
              </a:r>
              <a:endParaRPr lang="es-AR" sz="1100"/>
            </a:p>
          </xdr:txBody>
        </xdr:sp>
      </mc:Fallback>
    </mc:AlternateContent>
    <xdr:clientData/>
  </xdr:oneCellAnchor>
  <xdr:oneCellAnchor>
    <xdr:from>
      <xdr:col>1</xdr:col>
      <xdr:colOff>0</xdr:colOff>
      <xdr:row>128</xdr:row>
      <xdr:rowOff>0</xdr:rowOff>
    </xdr:from>
    <xdr:ext cx="314189" cy="172227"/>
    <mc:AlternateContent xmlns:mc="http://schemas.openxmlformats.org/markup-compatibility/2006">
      <mc:Choice xmlns:a14="http://schemas.microsoft.com/office/drawing/2010/main" Requires="a14">
        <xdr:sp macro="" textlink="">
          <xdr:nvSpPr>
            <xdr:cNvPr id="25" name="CuadroTexto 3">
              <a:extLst>
                <a:ext uri="{FF2B5EF4-FFF2-40B4-BE49-F238E27FC236}">
                  <a16:creationId xmlns:a16="http://schemas.microsoft.com/office/drawing/2014/main" id="{E838FB0D-CC4B-7B4A-9AA1-A5912F40A88E}"/>
                </a:ext>
              </a:extLst>
            </xdr:cNvPr>
            <xdr:cNvSpPr txBox="1"/>
          </xdr:nvSpPr>
          <xdr:spPr>
            <a:xfrm>
              <a:off x="876300" y="5588000"/>
              <a:ext cx="3141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𝑃</m:t>
                        </m:r>
                      </m:e>
                      <m:sub>
                        <m:r>
                          <a:rPr lang="es-AR" sz="1100" b="0" i="1">
                            <a:latin typeface="Cambria Math" panose="02040503050406030204" pitchFamily="18" charset="0"/>
                          </a:rPr>
                          <m:t>0</m:t>
                        </m:r>
                      </m:sub>
                    </m:sSub>
                    <m:r>
                      <a:rPr lang="es-AR" sz="1100" b="0" i="1">
                        <a:latin typeface="Cambria Math" panose="02040503050406030204" pitchFamily="18" charset="0"/>
                      </a:rPr>
                      <m:t>=</m:t>
                    </m:r>
                  </m:oMath>
                </m:oMathPara>
              </a14:m>
              <a:endParaRPr lang="es-AR" sz="1100"/>
            </a:p>
          </xdr:txBody>
        </xdr:sp>
      </mc:Choice>
      <mc:Fallback>
        <xdr:sp macro="" textlink="">
          <xdr:nvSpPr>
            <xdr:cNvPr id="25" name="CuadroTexto 3">
              <a:extLst>
                <a:ext uri="{FF2B5EF4-FFF2-40B4-BE49-F238E27FC236}">
                  <a16:creationId xmlns:a16="http://schemas.microsoft.com/office/drawing/2014/main" id="{E838FB0D-CC4B-7B4A-9AA1-A5912F40A88E}"/>
                </a:ext>
              </a:extLst>
            </xdr:cNvPr>
            <xdr:cNvSpPr txBox="1"/>
          </xdr:nvSpPr>
          <xdr:spPr>
            <a:xfrm>
              <a:off x="876300" y="5588000"/>
              <a:ext cx="314189"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𝑃_0=</a:t>
              </a:r>
              <a:endParaRPr lang="es-AR" sz="1100"/>
            </a:p>
          </xdr:txBody>
        </xdr:sp>
      </mc:Fallback>
    </mc:AlternateContent>
    <xdr:clientData/>
  </xdr:oneCellAnchor>
  <xdr:oneCellAnchor>
    <xdr:from>
      <xdr:col>7</xdr:col>
      <xdr:colOff>438150</xdr:colOff>
      <xdr:row>141</xdr:row>
      <xdr:rowOff>166687</xdr:rowOff>
    </xdr:from>
    <xdr:ext cx="1707840" cy="347659"/>
    <mc:AlternateContent xmlns:mc="http://schemas.openxmlformats.org/markup-compatibility/2006">
      <mc:Choice xmlns:a14="http://schemas.microsoft.com/office/drawing/2010/main" Requires="a14">
        <xdr:sp macro="" textlink="">
          <xdr:nvSpPr>
            <xdr:cNvPr id="27" name="CuadroTexto 5">
              <a:extLst>
                <a:ext uri="{FF2B5EF4-FFF2-40B4-BE49-F238E27FC236}">
                  <a16:creationId xmlns:a16="http://schemas.microsoft.com/office/drawing/2014/main" id="{8DD85ECD-555C-944C-BFFF-9A209A34F439}"/>
                </a:ext>
              </a:extLst>
            </xdr:cNvPr>
            <xdr:cNvSpPr txBox="1"/>
          </xdr:nvSpPr>
          <xdr:spPr>
            <a:xfrm>
              <a:off x="6724650" y="8231187"/>
              <a:ext cx="1707840"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f>
                      <m:fPr>
                        <m:ctrlPr>
                          <a:rPr lang="es-AR" sz="1100" b="0" i="1">
                            <a:latin typeface="Cambria Math" panose="02040503050406030204" pitchFamily="18" charset="0"/>
                          </a:rPr>
                        </m:ctrlPr>
                      </m:fPr>
                      <m:num>
                        <m:r>
                          <a:rPr lang="es-AR" sz="1100" b="0" i="1">
                            <a:latin typeface="Cambria Math" panose="02040503050406030204" pitchFamily="18" charset="0"/>
                          </a:rPr>
                          <m:t>𝑉𝐴𝑁</m:t>
                        </m:r>
                      </m:num>
                      <m:den>
                        <m:r>
                          <a:rPr lang="es-AR" sz="1100" b="0" i="1">
                            <a:latin typeface="Cambria Math" panose="02040503050406030204" pitchFamily="18" charset="0"/>
                          </a:rPr>
                          <m:t>𝑟</m:t>
                        </m:r>
                        <m:r>
                          <a:rPr lang="es-AR" sz="1100" b="0" i="1">
                            <a:latin typeface="Cambria Math" panose="02040503050406030204" pitchFamily="18" charset="0"/>
                          </a:rPr>
                          <m:t>−</m:t>
                        </m:r>
                        <m:r>
                          <a:rPr lang="es-AR" sz="1100" b="0" i="1">
                            <a:latin typeface="Cambria Math" panose="02040503050406030204" pitchFamily="18" charset="0"/>
                          </a:rPr>
                          <m:t>𝑔</m:t>
                        </m:r>
                      </m:den>
                    </m:f>
                    <m:r>
                      <a:rPr lang="es-AR" sz="1100" b="0" i="1">
                        <a:latin typeface="Cambria Math" panose="02040503050406030204" pitchFamily="18" charset="0"/>
                      </a:rPr>
                      <m:t>=</m:t>
                    </m:r>
                    <m:f>
                      <m:fPr>
                        <m:ctrlPr>
                          <a:rPr lang="es-AR" sz="1100" b="0" i="1">
                            <a:latin typeface="Cambria Math" panose="02040503050406030204" pitchFamily="18" charset="0"/>
                          </a:rPr>
                        </m:ctrlPr>
                      </m:fPr>
                      <m:num>
                        <m:r>
                          <a:rPr lang="es-AR" sz="1100" b="0" i="1">
                            <a:latin typeface="Cambria Math" panose="02040503050406030204" pitchFamily="18" charset="0"/>
                          </a:rPr>
                          <m:t>2,22</m:t>
                        </m:r>
                      </m:num>
                      <m:den>
                        <m:r>
                          <a:rPr lang="es-AR" sz="1100" b="0" i="1">
                            <a:latin typeface="Cambria Math" panose="02040503050406030204" pitchFamily="18" charset="0"/>
                          </a:rPr>
                          <m:t>𝑜</m:t>
                        </m:r>
                        <m:r>
                          <a:rPr lang="es-AR" sz="1100" b="0" i="1">
                            <a:latin typeface="Cambria Math" panose="02040503050406030204" pitchFamily="18" charset="0"/>
                          </a:rPr>
                          <m:t>,15−0,1</m:t>
                        </m:r>
                      </m:den>
                    </m:f>
                    <m:r>
                      <a:rPr lang="es-AR" sz="1100" b="0" i="0">
                        <a:latin typeface="Cambria Math" panose="02040503050406030204" pitchFamily="18" charset="0"/>
                      </a:rPr>
                      <m:t>=44,44</m:t>
                    </m:r>
                  </m:oMath>
                </m:oMathPara>
              </a14:m>
              <a:endParaRPr lang="es-AR" sz="1100"/>
            </a:p>
          </xdr:txBody>
        </xdr:sp>
      </mc:Choice>
      <mc:Fallback>
        <xdr:sp macro="" textlink="">
          <xdr:nvSpPr>
            <xdr:cNvPr id="27" name="CuadroTexto 5">
              <a:extLst>
                <a:ext uri="{FF2B5EF4-FFF2-40B4-BE49-F238E27FC236}">
                  <a16:creationId xmlns:a16="http://schemas.microsoft.com/office/drawing/2014/main" id="{8DD85ECD-555C-944C-BFFF-9A209A34F439}"/>
                </a:ext>
              </a:extLst>
            </xdr:cNvPr>
            <xdr:cNvSpPr txBox="1"/>
          </xdr:nvSpPr>
          <xdr:spPr>
            <a:xfrm>
              <a:off x="6724650" y="8231187"/>
              <a:ext cx="1707840" cy="3476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𝑉𝐴𝑁/(𝑟−𝑔)=2,22/(𝑜,15−0,1)=44,44</a:t>
              </a:r>
              <a:endParaRPr lang="es-AR" sz="1100"/>
            </a:p>
          </xdr:txBody>
        </xdr:sp>
      </mc:Fallback>
    </mc:AlternateContent>
    <xdr:clientData/>
  </xdr:oneCellAnchor>
  <xdr:oneCellAnchor>
    <xdr:from>
      <xdr:col>14</xdr:col>
      <xdr:colOff>123825</xdr:colOff>
      <xdr:row>179</xdr:row>
      <xdr:rowOff>33337</xdr:rowOff>
    </xdr:from>
    <xdr:ext cx="504818" cy="172227"/>
    <mc:AlternateContent xmlns:mc="http://schemas.openxmlformats.org/markup-compatibility/2006">
      <mc:Choice xmlns:a14="http://schemas.microsoft.com/office/drawing/2010/main" Requires="a14">
        <xdr:sp macro="" textlink="">
          <xdr:nvSpPr>
            <xdr:cNvPr id="28" name="CuadroTexto 2">
              <a:extLst>
                <a:ext uri="{FF2B5EF4-FFF2-40B4-BE49-F238E27FC236}">
                  <a16:creationId xmlns:a16="http://schemas.microsoft.com/office/drawing/2014/main" id="{525C3E01-0700-B642-BB62-A0BEDA3321AC}"/>
                </a:ext>
              </a:extLst>
            </xdr:cNvPr>
            <xdr:cNvSpPr txBox="1"/>
          </xdr:nvSpPr>
          <xdr:spPr>
            <a:xfrm>
              <a:off x="13281025" y="3335337"/>
              <a:ext cx="504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𝑡</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28" name="CuadroTexto 2">
              <a:extLst>
                <a:ext uri="{FF2B5EF4-FFF2-40B4-BE49-F238E27FC236}">
                  <a16:creationId xmlns:a16="http://schemas.microsoft.com/office/drawing/2014/main" id="{525C3E01-0700-B642-BB62-A0BEDA3321AC}"/>
                </a:ext>
              </a:extLst>
            </xdr:cNvPr>
            <xdr:cNvSpPr txBox="1"/>
          </xdr:nvSpPr>
          <xdr:spPr>
            <a:xfrm>
              <a:off x="13281025" y="3335337"/>
              <a:ext cx="504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〖𝐷𝑃𝐴〗_𝑡=</a:t>
              </a:r>
              <a:endParaRPr lang="es-AR" sz="1100"/>
            </a:p>
          </xdr:txBody>
        </xdr:sp>
      </mc:Fallback>
    </mc:AlternateContent>
    <xdr:clientData/>
  </xdr:oneCellAnchor>
  <xdr:oneCellAnchor>
    <xdr:from>
      <xdr:col>14</xdr:col>
      <xdr:colOff>295275</xdr:colOff>
      <xdr:row>180</xdr:row>
      <xdr:rowOff>152400</xdr:rowOff>
    </xdr:from>
    <xdr:ext cx="311880" cy="172227"/>
    <mc:AlternateContent xmlns:mc="http://schemas.openxmlformats.org/markup-compatibility/2006">
      <mc:Choice xmlns:a14="http://schemas.microsoft.com/office/drawing/2010/main" Requires="a14">
        <xdr:sp macro="" textlink="">
          <xdr:nvSpPr>
            <xdr:cNvPr id="29" name="CuadroTexto 3">
              <a:extLst>
                <a:ext uri="{FF2B5EF4-FFF2-40B4-BE49-F238E27FC236}">
                  <a16:creationId xmlns:a16="http://schemas.microsoft.com/office/drawing/2014/main" id="{1FB79C5E-8FC1-BB44-8A50-23059C2DF1BE}"/>
                </a:ext>
              </a:extLst>
            </xdr:cNvPr>
            <xdr:cNvSpPr txBox="1"/>
          </xdr:nvSpPr>
          <xdr:spPr>
            <a:xfrm>
              <a:off x="13452475" y="3644900"/>
              <a:ext cx="3118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𝑔</m:t>
                        </m:r>
                      </m:e>
                      <m:sub>
                        <m:r>
                          <a:rPr lang="es-AR" sz="1100" b="0" i="1">
                            <a:solidFill>
                              <a:schemeClr val="tx1"/>
                            </a:solidFill>
                            <a:effectLst/>
                            <a:latin typeface="Cambria Math" panose="02040503050406030204" pitchFamily="18" charset="0"/>
                            <a:ea typeface="+mn-ea"/>
                            <a:cs typeface="+mn-cs"/>
                          </a:rPr>
                          <m:t>𝑡</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29" name="CuadroTexto 3">
              <a:extLst>
                <a:ext uri="{FF2B5EF4-FFF2-40B4-BE49-F238E27FC236}">
                  <a16:creationId xmlns:a16="http://schemas.microsoft.com/office/drawing/2014/main" id="{1FB79C5E-8FC1-BB44-8A50-23059C2DF1BE}"/>
                </a:ext>
              </a:extLst>
            </xdr:cNvPr>
            <xdr:cNvSpPr txBox="1"/>
          </xdr:nvSpPr>
          <xdr:spPr>
            <a:xfrm>
              <a:off x="13452475" y="3644900"/>
              <a:ext cx="3118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𝑔_𝑡=</a:t>
              </a:r>
              <a:endParaRPr lang="es-AR" sz="1100"/>
            </a:p>
          </xdr:txBody>
        </xdr:sp>
      </mc:Fallback>
    </mc:AlternateContent>
    <xdr:clientData/>
  </xdr:oneCellAnchor>
  <xdr:oneCellAnchor>
    <xdr:from>
      <xdr:col>1</xdr:col>
      <xdr:colOff>523875</xdr:colOff>
      <xdr:row>202</xdr:row>
      <xdr:rowOff>9525</xdr:rowOff>
    </xdr:from>
    <xdr:ext cx="323357" cy="172227"/>
    <mc:AlternateContent xmlns:mc="http://schemas.openxmlformats.org/markup-compatibility/2006">
      <mc:Choice xmlns:a14="http://schemas.microsoft.com/office/drawing/2010/main" Requires="a14">
        <xdr:sp macro="" textlink="">
          <xdr:nvSpPr>
            <xdr:cNvPr id="30" name="CuadroTexto 9">
              <a:extLst>
                <a:ext uri="{FF2B5EF4-FFF2-40B4-BE49-F238E27FC236}">
                  <a16:creationId xmlns:a16="http://schemas.microsoft.com/office/drawing/2014/main" id="{86C814E8-48E8-3542-BFA1-7E1082761F1B}"/>
                </a:ext>
              </a:extLst>
            </xdr:cNvPr>
            <xdr:cNvSpPr txBox="1"/>
          </xdr:nvSpPr>
          <xdr:spPr>
            <a:xfrm>
              <a:off x="1400175" y="7731125"/>
              <a:ext cx="323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2</m:t>
                        </m:r>
                      </m:sub>
                    </m:sSub>
                    <m:r>
                      <a:rPr lang="es-AR" sz="1100" b="0" i="1">
                        <a:latin typeface="Cambria Math" panose="02040503050406030204" pitchFamily="18" charset="0"/>
                      </a:rPr>
                      <m:t>=</m:t>
                    </m:r>
                  </m:oMath>
                </m:oMathPara>
              </a14:m>
              <a:endParaRPr lang="es-AR" sz="1100"/>
            </a:p>
          </xdr:txBody>
        </xdr:sp>
      </mc:Choice>
      <mc:Fallback>
        <xdr:sp macro="" textlink="">
          <xdr:nvSpPr>
            <xdr:cNvPr id="30" name="CuadroTexto 9">
              <a:extLst>
                <a:ext uri="{FF2B5EF4-FFF2-40B4-BE49-F238E27FC236}">
                  <a16:creationId xmlns:a16="http://schemas.microsoft.com/office/drawing/2014/main" id="{86C814E8-48E8-3542-BFA1-7E1082761F1B}"/>
                </a:ext>
              </a:extLst>
            </xdr:cNvPr>
            <xdr:cNvSpPr txBox="1"/>
          </xdr:nvSpPr>
          <xdr:spPr>
            <a:xfrm>
              <a:off x="1400175" y="7731125"/>
              <a:ext cx="323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𝑔_2=</a:t>
              </a:r>
              <a:endParaRPr lang="es-AR" sz="1100"/>
            </a:p>
          </xdr:txBody>
        </xdr:sp>
      </mc:Fallback>
    </mc:AlternateContent>
    <xdr:clientData/>
  </xdr:oneCellAnchor>
  <xdr:twoCellAnchor>
    <xdr:from>
      <xdr:col>4</xdr:col>
      <xdr:colOff>123825</xdr:colOff>
      <xdr:row>205</xdr:row>
      <xdr:rowOff>123825</xdr:rowOff>
    </xdr:from>
    <xdr:to>
      <xdr:col>4</xdr:col>
      <xdr:colOff>542925</xdr:colOff>
      <xdr:row>207</xdr:row>
      <xdr:rowOff>28575</xdr:rowOff>
    </xdr:to>
    <xdr:sp macro="" textlink="">
      <xdr:nvSpPr>
        <xdr:cNvPr id="31" name="Flecha derecha 14">
          <a:extLst>
            <a:ext uri="{FF2B5EF4-FFF2-40B4-BE49-F238E27FC236}">
              <a16:creationId xmlns:a16="http://schemas.microsoft.com/office/drawing/2014/main" id="{3F08D52B-0644-8F43-9CEC-D5BEC80C2DB9}"/>
            </a:ext>
          </a:extLst>
        </xdr:cNvPr>
        <xdr:cNvSpPr/>
      </xdr:nvSpPr>
      <xdr:spPr>
        <a:xfrm>
          <a:off x="3756025" y="8416925"/>
          <a:ext cx="419100" cy="28575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s-AR" sz="1100"/>
        </a:p>
      </xdr:txBody>
    </xdr:sp>
    <xdr:clientData/>
  </xdr:twoCellAnchor>
  <xdr:oneCellAnchor>
    <xdr:from>
      <xdr:col>7</xdr:col>
      <xdr:colOff>409575</xdr:colOff>
      <xdr:row>180</xdr:row>
      <xdr:rowOff>66675</xdr:rowOff>
    </xdr:from>
    <xdr:ext cx="3725828" cy="352276"/>
    <mc:AlternateContent xmlns:mc="http://schemas.openxmlformats.org/markup-compatibility/2006">
      <mc:Choice xmlns:a14="http://schemas.microsoft.com/office/drawing/2010/main" Requires="a14">
        <xdr:sp macro="" textlink="">
          <xdr:nvSpPr>
            <xdr:cNvPr id="32" name="CuadroTexto 17">
              <a:extLst>
                <a:ext uri="{FF2B5EF4-FFF2-40B4-BE49-F238E27FC236}">
                  <a16:creationId xmlns:a16="http://schemas.microsoft.com/office/drawing/2014/main" id="{EB100F87-F319-DF48-ACE3-0C52E313879C}"/>
                </a:ext>
              </a:extLst>
            </xdr:cNvPr>
            <xdr:cNvSpPr txBox="1"/>
          </xdr:nvSpPr>
          <xdr:spPr>
            <a:xfrm>
              <a:off x="7280275" y="3559175"/>
              <a:ext cx="3725828" cy="35227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𝑃</m:t>
                        </m:r>
                      </m:e>
                      <m:sub>
                        <m:r>
                          <a:rPr lang="es-AR" sz="1100" b="0" i="1">
                            <a:latin typeface="Cambria Math" panose="02040503050406030204" pitchFamily="18" charset="0"/>
                          </a:rPr>
                          <m:t>0</m:t>
                        </m:r>
                      </m:sub>
                    </m:sSub>
                    <m:r>
                      <a:rPr lang="es-AR" sz="1100" b="0" i="1">
                        <a:latin typeface="Cambria Math" panose="02040503050406030204" pitchFamily="18" charset="0"/>
                      </a:rPr>
                      <m:t>=</m:t>
                    </m:r>
                    <m:f>
                      <m:fPr>
                        <m:ctrlPr>
                          <a:rPr lang="es-AR" sz="1100" b="0" i="1">
                            <a:latin typeface="Cambria Math" panose="02040503050406030204" pitchFamily="18" charset="0"/>
                          </a:rPr>
                        </m:ctrlPr>
                      </m:fPr>
                      <m:num>
                        <m:sSub>
                          <m:sSubPr>
                            <m:ctrlPr>
                              <a:rPr lang="es-AR" sz="1100" b="0" i="1">
                                <a:latin typeface="Cambria Math" panose="02040503050406030204" pitchFamily="18" charset="0"/>
                              </a:rPr>
                            </m:ctrlPr>
                          </m:sSubPr>
                          <m:e>
                            <m:r>
                              <a:rPr lang="es-AR" sz="1100" b="0" i="1">
                                <a:latin typeface="Cambria Math" panose="02040503050406030204" pitchFamily="18" charset="0"/>
                              </a:rPr>
                              <m:t>𝐷𝑃𝐴</m:t>
                            </m:r>
                          </m:e>
                          <m:sub>
                            <m:r>
                              <a:rPr lang="es-AR" sz="1100" b="0" i="1">
                                <a:latin typeface="Cambria Math" panose="02040503050406030204" pitchFamily="18" charset="0"/>
                              </a:rPr>
                              <m:t>1</m:t>
                            </m:r>
                          </m:sub>
                        </m:sSub>
                      </m:num>
                      <m:den>
                        <m:sSup>
                          <m:sSupPr>
                            <m:ctrlPr>
                              <a:rPr lang="es-AR" sz="1100" b="0" i="1">
                                <a:latin typeface="Cambria Math" panose="02040503050406030204" pitchFamily="18" charset="0"/>
                              </a:rPr>
                            </m:ctrlPr>
                          </m:sSupPr>
                          <m:e>
                            <m:d>
                              <m:dPr>
                                <m:ctrlPr>
                                  <a:rPr lang="es-AR" sz="1100" b="0" i="1">
                                    <a:latin typeface="Cambria Math" panose="02040503050406030204" pitchFamily="18" charset="0"/>
                                  </a:rPr>
                                </m:ctrlPr>
                              </m:dPr>
                              <m:e>
                                <m:r>
                                  <a:rPr lang="es-AR" sz="1100" b="0" i="1">
                                    <a:latin typeface="Cambria Math" panose="02040503050406030204" pitchFamily="18" charset="0"/>
                                  </a:rPr>
                                  <m:t>1+</m:t>
                                </m:r>
                                <m:r>
                                  <a:rPr lang="es-AR" sz="1100" b="0" i="1">
                                    <a:latin typeface="Cambria Math" panose="02040503050406030204" pitchFamily="18" charset="0"/>
                                  </a:rPr>
                                  <m:t>𝑘</m:t>
                                </m:r>
                              </m:e>
                            </m:d>
                          </m:e>
                          <m:sup>
                            <m:r>
                              <a:rPr lang="es-AR" sz="1100" b="0" i="1">
                                <a:latin typeface="Cambria Math" panose="02040503050406030204" pitchFamily="18" charset="0"/>
                              </a:rPr>
                              <m:t>1</m:t>
                            </m:r>
                          </m:sup>
                        </m:sSup>
                      </m:den>
                    </m:f>
                    <m:r>
                      <a:rPr lang="es-AR" sz="1100" b="0" i="1">
                        <a:latin typeface="Cambria Math" panose="02040503050406030204" pitchFamily="18" charset="0"/>
                      </a:rPr>
                      <m:t>+</m:t>
                    </m:r>
                    <m:f>
                      <m:fPr>
                        <m:ctrlPr>
                          <a:rPr lang="es-AR" sz="1100" b="0" i="1">
                            <a:solidFill>
                              <a:schemeClr val="tx1"/>
                            </a:solidFill>
                            <a:effectLst/>
                            <a:latin typeface="Cambria Math" panose="02040503050406030204" pitchFamily="18" charset="0"/>
                            <a:ea typeface="+mn-ea"/>
                            <a:cs typeface="+mn-cs"/>
                          </a:rPr>
                        </m:ctrlPr>
                      </m:fPr>
                      <m:num>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2</m:t>
                            </m:r>
                          </m:sub>
                        </m:sSub>
                      </m:num>
                      <m:den>
                        <m:sSup>
                          <m:sSupPr>
                            <m:ctrlPr>
                              <a:rPr lang="es-AR" sz="1100" b="0" i="1">
                                <a:solidFill>
                                  <a:schemeClr val="tx1"/>
                                </a:solidFill>
                                <a:effectLst/>
                                <a:latin typeface="Cambria Math" panose="02040503050406030204" pitchFamily="18" charset="0"/>
                                <a:ea typeface="+mn-ea"/>
                                <a:cs typeface="+mn-cs"/>
                              </a:rPr>
                            </m:ctrlPr>
                          </m:sSupPr>
                          <m:e>
                            <m:d>
                              <m:dPr>
                                <m:ctrlPr>
                                  <a:rPr lang="es-AR" sz="1100" b="0" i="1">
                                    <a:solidFill>
                                      <a:schemeClr val="tx1"/>
                                    </a:solidFill>
                                    <a:effectLst/>
                                    <a:latin typeface="Cambria Math" panose="02040503050406030204" pitchFamily="18" charset="0"/>
                                    <a:ea typeface="+mn-ea"/>
                                    <a:cs typeface="+mn-cs"/>
                                  </a:rPr>
                                </m:ctrlPr>
                              </m:dPr>
                              <m:e>
                                <m:r>
                                  <a:rPr lang="es-AR" sz="1100" b="0" i="1">
                                    <a:solidFill>
                                      <a:schemeClr val="tx1"/>
                                    </a:solidFill>
                                    <a:effectLst/>
                                    <a:latin typeface="Cambria Math" panose="02040503050406030204" pitchFamily="18" charset="0"/>
                                    <a:ea typeface="+mn-ea"/>
                                    <a:cs typeface="+mn-cs"/>
                                  </a:rPr>
                                  <m:t>1+</m:t>
                                </m:r>
                                <m:r>
                                  <a:rPr lang="es-AR" sz="1100" b="0" i="1">
                                    <a:solidFill>
                                      <a:schemeClr val="tx1"/>
                                    </a:solidFill>
                                    <a:effectLst/>
                                    <a:latin typeface="Cambria Math" panose="02040503050406030204" pitchFamily="18" charset="0"/>
                                    <a:ea typeface="+mn-ea"/>
                                    <a:cs typeface="+mn-cs"/>
                                  </a:rPr>
                                  <m:t>𝑘</m:t>
                                </m:r>
                              </m:e>
                            </m:d>
                          </m:e>
                          <m:sup>
                            <m:r>
                              <a:rPr lang="es-AR" sz="1100" b="0" i="1">
                                <a:solidFill>
                                  <a:schemeClr val="tx1"/>
                                </a:solidFill>
                                <a:effectLst/>
                                <a:latin typeface="Cambria Math" panose="02040503050406030204" pitchFamily="18" charset="0"/>
                                <a:ea typeface="+mn-ea"/>
                                <a:cs typeface="+mn-cs"/>
                              </a:rPr>
                              <m:t>2</m:t>
                            </m:r>
                          </m:sup>
                        </m:sSup>
                      </m:den>
                    </m:f>
                    <m:r>
                      <a:rPr lang="es-AR" sz="1100" b="0" i="1">
                        <a:solidFill>
                          <a:schemeClr val="tx1"/>
                        </a:solidFill>
                        <a:effectLst/>
                        <a:latin typeface="Cambria Math" panose="02040503050406030204" pitchFamily="18" charset="0"/>
                        <a:ea typeface="+mn-ea"/>
                        <a:cs typeface="+mn-cs"/>
                      </a:rPr>
                      <m:t>+…+</m:t>
                    </m:r>
                    <m:f>
                      <m:fPr>
                        <m:ctrlPr>
                          <a:rPr lang="es-AR" sz="1100" b="0" i="1">
                            <a:solidFill>
                              <a:schemeClr val="tx1"/>
                            </a:solidFill>
                            <a:effectLst/>
                            <a:latin typeface="Cambria Math" panose="02040503050406030204" pitchFamily="18" charset="0"/>
                            <a:ea typeface="+mn-ea"/>
                            <a:cs typeface="+mn-cs"/>
                          </a:rPr>
                        </m:ctrlPr>
                      </m:fPr>
                      <m:num>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𝑛</m:t>
                            </m:r>
                          </m:sub>
                        </m:sSub>
                      </m:num>
                      <m:den>
                        <m:sSup>
                          <m:sSupPr>
                            <m:ctrlPr>
                              <a:rPr lang="es-AR" sz="1100" b="0" i="1">
                                <a:solidFill>
                                  <a:schemeClr val="tx1"/>
                                </a:solidFill>
                                <a:effectLst/>
                                <a:latin typeface="Cambria Math" panose="02040503050406030204" pitchFamily="18" charset="0"/>
                                <a:ea typeface="+mn-ea"/>
                                <a:cs typeface="+mn-cs"/>
                              </a:rPr>
                            </m:ctrlPr>
                          </m:sSupPr>
                          <m:e>
                            <m:d>
                              <m:dPr>
                                <m:ctrlPr>
                                  <a:rPr lang="es-AR" sz="1100" b="0" i="1">
                                    <a:solidFill>
                                      <a:schemeClr val="tx1"/>
                                    </a:solidFill>
                                    <a:effectLst/>
                                    <a:latin typeface="Cambria Math" panose="02040503050406030204" pitchFamily="18" charset="0"/>
                                    <a:ea typeface="+mn-ea"/>
                                    <a:cs typeface="+mn-cs"/>
                                  </a:rPr>
                                </m:ctrlPr>
                              </m:dPr>
                              <m:e>
                                <m:r>
                                  <a:rPr lang="es-AR" sz="1100" b="0" i="1">
                                    <a:solidFill>
                                      <a:schemeClr val="tx1"/>
                                    </a:solidFill>
                                    <a:effectLst/>
                                    <a:latin typeface="Cambria Math" panose="02040503050406030204" pitchFamily="18" charset="0"/>
                                    <a:ea typeface="+mn-ea"/>
                                    <a:cs typeface="+mn-cs"/>
                                  </a:rPr>
                                  <m:t>1+</m:t>
                                </m:r>
                                <m:r>
                                  <a:rPr lang="es-AR" sz="1100" b="0" i="1">
                                    <a:solidFill>
                                      <a:schemeClr val="tx1"/>
                                    </a:solidFill>
                                    <a:effectLst/>
                                    <a:latin typeface="Cambria Math" panose="02040503050406030204" pitchFamily="18" charset="0"/>
                                    <a:ea typeface="+mn-ea"/>
                                    <a:cs typeface="+mn-cs"/>
                                  </a:rPr>
                                  <m:t>𝑘</m:t>
                                </m:r>
                              </m:e>
                            </m:d>
                          </m:e>
                          <m:sup>
                            <m:r>
                              <a:rPr lang="es-AR" sz="1100" b="0" i="1">
                                <a:solidFill>
                                  <a:schemeClr val="tx1"/>
                                </a:solidFill>
                                <a:effectLst/>
                                <a:latin typeface="Cambria Math" panose="02040503050406030204" pitchFamily="18" charset="0"/>
                                <a:ea typeface="+mn-ea"/>
                                <a:cs typeface="+mn-cs"/>
                              </a:rPr>
                              <m:t>𝑛</m:t>
                            </m:r>
                          </m:sup>
                        </m:sSup>
                      </m:den>
                    </m:f>
                    <m:r>
                      <a:rPr lang="es-AR" sz="1100" b="0" i="1">
                        <a:latin typeface="Cambria Math" panose="02040503050406030204" pitchFamily="18" charset="0"/>
                      </a:rPr>
                      <m:t>+</m:t>
                    </m:r>
                    <m:f>
                      <m:fPr>
                        <m:ctrlPr>
                          <a:rPr lang="es-AR" sz="1100" b="0" i="1">
                            <a:latin typeface="Cambria Math" panose="02040503050406030204" pitchFamily="18" charset="0"/>
                          </a:rPr>
                        </m:ctrlPr>
                      </m:fPr>
                      <m:num>
                        <m:sSub>
                          <m:sSubPr>
                            <m:ctrlPr>
                              <a:rPr lang="es-AR" sz="1100" b="0" i="1">
                                <a:latin typeface="Cambria Math" panose="02040503050406030204" pitchFamily="18" charset="0"/>
                              </a:rPr>
                            </m:ctrlPr>
                          </m:sSubPr>
                          <m:e>
                            <m:r>
                              <a:rPr lang="es-AR" sz="1100" b="0" i="1">
                                <a:latin typeface="Cambria Math" panose="02040503050406030204" pitchFamily="18" charset="0"/>
                              </a:rPr>
                              <m:t>𝐷𝑃𝐴</m:t>
                            </m:r>
                          </m:e>
                          <m:sub>
                            <m:r>
                              <a:rPr lang="es-AR" sz="1100" b="0" i="1">
                                <a:latin typeface="Cambria Math" panose="02040503050406030204" pitchFamily="18" charset="0"/>
                              </a:rPr>
                              <m:t>𝑛</m:t>
                            </m:r>
                            <m:r>
                              <a:rPr lang="es-AR" sz="1100" b="0" i="1">
                                <a:latin typeface="Cambria Math" panose="02040503050406030204" pitchFamily="18" charset="0"/>
                              </a:rPr>
                              <m:t>+1</m:t>
                            </m:r>
                          </m:sub>
                        </m:sSub>
                      </m:num>
                      <m:den>
                        <m:d>
                          <m:dPr>
                            <m:ctrlPr>
                              <a:rPr lang="es-AR" sz="1100" b="0" i="1">
                                <a:latin typeface="Cambria Math" panose="02040503050406030204" pitchFamily="18" charset="0"/>
                              </a:rPr>
                            </m:ctrlPr>
                          </m:dPr>
                          <m:e>
                            <m:r>
                              <a:rPr lang="es-AR" sz="1100" b="0" i="1">
                                <a:latin typeface="Cambria Math" panose="02040503050406030204" pitchFamily="18" charset="0"/>
                              </a:rPr>
                              <m:t>𝑘</m:t>
                            </m:r>
                            <m:r>
                              <a:rPr lang="es-AR" sz="1100" b="0" i="1">
                                <a:latin typeface="Cambria Math" panose="02040503050406030204" pitchFamily="18" charset="0"/>
                              </a:rPr>
                              <m:t>−</m:t>
                            </m:r>
                            <m:sSub>
                              <m:sSubPr>
                                <m:ctrlPr>
                                  <a:rPr lang="es-AR" sz="1100" b="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2</m:t>
                                </m:r>
                              </m:sub>
                            </m:sSub>
                          </m:e>
                        </m:d>
                        <m:sSup>
                          <m:sSupPr>
                            <m:ctrlPr>
                              <a:rPr lang="es-AR" sz="1100" b="0" i="1">
                                <a:latin typeface="Cambria Math" panose="02040503050406030204" pitchFamily="18" charset="0"/>
                              </a:rPr>
                            </m:ctrlPr>
                          </m:sSupPr>
                          <m:e>
                            <m:d>
                              <m:dPr>
                                <m:ctrlPr>
                                  <a:rPr lang="es-AR" sz="1100" b="0" i="1">
                                    <a:latin typeface="Cambria Math" panose="02040503050406030204" pitchFamily="18" charset="0"/>
                                  </a:rPr>
                                </m:ctrlPr>
                              </m:dPr>
                              <m:e>
                                <m:r>
                                  <a:rPr lang="es-AR" sz="1100" b="0" i="1">
                                    <a:latin typeface="Cambria Math" panose="02040503050406030204" pitchFamily="18" charset="0"/>
                                  </a:rPr>
                                  <m:t>1+</m:t>
                                </m:r>
                                <m:r>
                                  <a:rPr lang="es-AR" sz="1100" b="0" i="1">
                                    <a:latin typeface="Cambria Math" panose="02040503050406030204" pitchFamily="18" charset="0"/>
                                  </a:rPr>
                                  <m:t>𝑘</m:t>
                                </m:r>
                              </m:e>
                            </m:d>
                          </m:e>
                          <m:sup>
                            <m:r>
                              <a:rPr lang="es-AR" sz="1100" b="0" i="1">
                                <a:latin typeface="Cambria Math" panose="02040503050406030204" pitchFamily="18" charset="0"/>
                              </a:rPr>
                              <m:t>𝑛</m:t>
                            </m:r>
                          </m:sup>
                        </m:sSup>
                      </m:den>
                    </m:f>
                  </m:oMath>
                </m:oMathPara>
              </a14:m>
              <a:endParaRPr lang="es-AR" sz="1100"/>
            </a:p>
          </xdr:txBody>
        </xdr:sp>
      </mc:Choice>
      <mc:Fallback>
        <xdr:sp macro="" textlink="">
          <xdr:nvSpPr>
            <xdr:cNvPr id="32" name="CuadroTexto 17">
              <a:extLst>
                <a:ext uri="{FF2B5EF4-FFF2-40B4-BE49-F238E27FC236}">
                  <a16:creationId xmlns:a16="http://schemas.microsoft.com/office/drawing/2014/main" id="{EB100F87-F319-DF48-ACE3-0C52E313879C}"/>
                </a:ext>
              </a:extLst>
            </xdr:cNvPr>
            <xdr:cNvSpPr txBox="1"/>
          </xdr:nvSpPr>
          <xdr:spPr>
            <a:xfrm>
              <a:off x="7280275" y="3559175"/>
              <a:ext cx="3725828" cy="35227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𝑃_0=〖𝐷𝑃𝐴〗_1/(1+𝑘)^1 +</a:t>
              </a:r>
              <a:r>
                <a:rPr lang="es-AR" sz="1100" b="0" i="0">
                  <a:solidFill>
                    <a:schemeClr val="tx1"/>
                  </a:solidFill>
                  <a:effectLst/>
                  <a:latin typeface="Cambria Math" panose="02040503050406030204" pitchFamily="18" charset="0"/>
                  <a:ea typeface="+mn-ea"/>
                  <a:cs typeface="+mn-cs"/>
                </a:rPr>
                <a:t>〖𝐷𝑃𝐴〗_2/(1+𝑘)^2 +…+〖𝐷𝑃𝐴〗_𝑛/(1+𝑘)^𝑛 </a:t>
              </a:r>
              <a:r>
                <a:rPr lang="es-AR" sz="1100" b="0" i="0">
                  <a:latin typeface="Cambria Math" panose="02040503050406030204" pitchFamily="18" charset="0"/>
                </a:rPr>
                <a:t>+〖𝐷𝑃𝐴〗_(𝑛+1)/((𝑘−𝑔_2 ) (1+𝑘)^𝑛 )</a:t>
              </a:r>
              <a:endParaRPr lang="es-AR" sz="1100"/>
            </a:p>
          </xdr:txBody>
        </xdr:sp>
      </mc:Fallback>
    </mc:AlternateContent>
    <xdr:clientData/>
  </xdr:oneCellAnchor>
  <xdr:oneCellAnchor>
    <xdr:from>
      <xdr:col>1</xdr:col>
      <xdr:colOff>0</xdr:colOff>
      <xdr:row>189</xdr:row>
      <xdr:rowOff>0</xdr:rowOff>
    </xdr:from>
    <xdr:ext cx="513025" cy="172227"/>
    <mc:AlternateContent xmlns:mc="http://schemas.openxmlformats.org/markup-compatibility/2006">
      <mc:Choice xmlns:a14="http://schemas.microsoft.com/office/drawing/2010/main" Requires="a14">
        <xdr:sp macro="" textlink="">
          <xdr:nvSpPr>
            <xdr:cNvPr id="33" name="CuadroTexto 18">
              <a:extLst>
                <a:ext uri="{FF2B5EF4-FFF2-40B4-BE49-F238E27FC236}">
                  <a16:creationId xmlns:a16="http://schemas.microsoft.com/office/drawing/2014/main" id="{44D3D9E8-B11B-674A-B749-826B92D3FFD4}"/>
                </a:ext>
              </a:extLst>
            </xdr:cNvPr>
            <xdr:cNvSpPr txBox="1"/>
          </xdr:nvSpPr>
          <xdr:spPr>
            <a:xfrm>
              <a:off x="876300" y="5219700"/>
              <a:ext cx="5130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1</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33" name="CuadroTexto 18">
              <a:extLst>
                <a:ext uri="{FF2B5EF4-FFF2-40B4-BE49-F238E27FC236}">
                  <a16:creationId xmlns:a16="http://schemas.microsoft.com/office/drawing/2014/main" id="{44D3D9E8-B11B-674A-B749-826B92D3FFD4}"/>
                </a:ext>
              </a:extLst>
            </xdr:cNvPr>
            <xdr:cNvSpPr txBox="1"/>
          </xdr:nvSpPr>
          <xdr:spPr>
            <a:xfrm>
              <a:off x="876300" y="5219700"/>
              <a:ext cx="5130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〖𝐷𝑃𝐴〗_1=</a:t>
              </a:r>
              <a:endParaRPr lang="es-AR" sz="1100"/>
            </a:p>
          </xdr:txBody>
        </xdr:sp>
      </mc:Fallback>
    </mc:AlternateContent>
    <xdr:clientData/>
  </xdr:oneCellAnchor>
  <xdr:oneCellAnchor>
    <xdr:from>
      <xdr:col>1</xdr:col>
      <xdr:colOff>0</xdr:colOff>
      <xdr:row>190</xdr:row>
      <xdr:rowOff>0</xdr:rowOff>
    </xdr:from>
    <xdr:ext cx="516295" cy="172227"/>
    <mc:AlternateContent xmlns:mc="http://schemas.openxmlformats.org/markup-compatibility/2006">
      <mc:Choice xmlns:a14="http://schemas.microsoft.com/office/drawing/2010/main" Requires="a14">
        <xdr:sp macro="" textlink="">
          <xdr:nvSpPr>
            <xdr:cNvPr id="34" name="CuadroTexto 19">
              <a:extLst>
                <a:ext uri="{FF2B5EF4-FFF2-40B4-BE49-F238E27FC236}">
                  <a16:creationId xmlns:a16="http://schemas.microsoft.com/office/drawing/2014/main" id="{40074854-008C-9943-802B-1C24C974CBC8}"/>
                </a:ext>
              </a:extLst>
            </xdr:cNvPr>
            <xdr:cNvSpPr txBox="1"/>
          </xdr:nvSpPr>
          <xdr:spPr>
            <a:xfrm>
              <a:off x="876300" y="5410200"/>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2</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34" name="CuadroTexto 19">
              <a:extLst>
                <a:ext uri="{FF2B5EF4-FFF2-40B4-BE49-F238E27FC236}">
                  <a16:creationId xmlns:a16="http://schemas.microsoft.com/office/drawing/2014/main" id="{40074854-008C-9943-802B-1C24C974CBC8}"/>
                </a:ext>
              </a:extLst>
            </xdr:cNvPr>
            <xdr:cNvSpPr txBox="1"/>
          </xdr:nvSpPr>
          <xdr:spPr>
            <a:xfrm>
              <a:off x="876300" y="5410200"/>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〖𝐷𝑃𝐴〗_2=</a:t>
              </a:r>
              <a:endParaRPr lang="es-AR" sz="1100"/>
            </a:p>
          </xdr:txBody>
        </xdr:sp>
      </mc:Fallback>
    </mc:AlternateContent>
    <xdr:clientData/>
  </xdr:oneCellAnchor>
  <xdr:oneCellAnchor>
    <xdr:from>
      <xdr:col>0</xdr:col>
      <xdr:colOff>742950</xdr:colOff>
      <xdr:row>190</xdr:row>
      <xdr:rowOff>180975</xdr:rowOff>
    </xdr:from>
    <xdr:ext cx="516295" cy="172227"/>
    <mc:AlternateContent xmlns:mc="http://schemas.openxmlformats.org/markup-compatibility/2006">
      <mc:Choice xmlns:a14="http://schemas.microsoft.com/office/drawing/2010/main" Requires="a14">
        <xdr:sp macro="" textlink="">
          <xdr:nvSpPr>
            <xdr:cNvPr id="35" name="CuadroTexto 21">
              <a:extLst>
                <a:ext uri="{FF2B5EF4-FFF2-40B4-BE49-F238E27FC236}">
                  <a16:creationId xmlns:a16="http://schemas.microsoft.com/office/drawing/2014/main" id="{4D9B818C-71B4-0542-BC0E-F53DF5053F29}"/>
                </a:ext>
              </a:extLst>
            </xdr:cNvPr>
            <xdr:cNvSpPr txBox="1"/>
          </xdr:nvSpPr>
          <xdr:spPr>
            <a:xfrm>
              <a:off x="742950" y="5591175"/>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3</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35" name="CuadroTexto 21">
              <a:extLst>
                <a:ext uri="{FF2B5EF4-FFF2-40B4-BE49-F238E27FC236}">
                  <a16:creationId xmlns:a16="http://schemas.microsoft.com/office/drawing/2014/main" id="{4D9B818C-71B4-0542-BC0E-F53DF5053F29}"/>
                </a:ext>
              </a:extLst>
            </xdr:cNvPr>
            <xdr:cNvSpPr txBox="1"/>
          </xdr:nvSpPr>
          <xdr:spPr>
            <a:xfrm>
              <a:off x="742950" y="5591175"/>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〖𝐷𝑃𝐴〗_3=</a:t>
              </a:r>
              <a:endParaRPr lang="es-AR" sz="1100"/>
            </a:p>
          </xdr:txBody>
        </xdr:sp>
      </mc:Fallback>
    </mc:AlternateContent>
    <xdr:clientData/>
  </xdr:oneCellAnchor>
  <xdr:oneCellAnchor>
    <xdr:from>
      <xdr:col>4</xdr:col>
      <xdr:colOff>219075</xdr:colOff>
      <xdr:row>170</xdr:row>
      <xdr:rowOff>9525</xdr:rowOff>
    </xdr:from>
    <xdr:ext cx="513025" cy="172227"/>
    <mc:AlternateContent xmlns:mc="http://schemas.openxmlformats.org/markup-compatibility/2006">
      <mc:Choice xmlns:a14="http://schemas.microsoft.com/office/drawing/2010/main" Requires="a14">
        <xdr:sp macro="" textlink="">
          <xdr:nvSpPr>
            <xdr:cNvPr id="36" name="CuadroTexto 22">
              <a:extLst>
                <a:ext uri="{FF2B5EF4-FFF2-40B4-BE49-F238E27FC236}">
                  <a16:creationId xmlns:a16="http://schemas.microsoft.com/office/drawing/2014/main" id="{3D9625F5-BD4B-2641-BE7A-461D452284A8}"/>
                </a:ext>
              </a:extLst>
            </xdr:cNvPr>
            <xdr:cNvSpPr txBox="1"/>
          </xdr:nvSpPr>
          <xdr:spPr>
            <a:xfrm>
              <a:off x="3851275" y="1597025"/>
              <a:ext cx="5130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1</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36" name="CuadroTexto 22">
              <a:extLst>
                <a:ext uri="{FF2B5EF4-FFF2-40B4-BE49-F238E27FC236}">
                  <a16:creationId xmlns:a16="http://schemas.microsoft.com/office/drawing/2014/main" id="{3D9625F5-BD4B-2641-BE7A-461D452284A8}"/>
                </a:ext>
              </a:extLst>
            </xdr:cNvPr>
            <xdr:cNvSpPr txBox="1"/>
          </xdr:nvSpPr>
          <xdr:spPr>
            <a:xfrm>
              <a:off x="3851275" y="1597025"/>
              <a:ext cx="51302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〖𝐷𝑃𝐴〗_1=</a:t>
              </a:r>
              <a:endParaRPr lang="es-AR" sz="1100"/>
            </a:p>
          </xdr:txBody>
        </xdr:sp>
      </mc:Fallback>
    </mc:AlternateContent>
    <xdr:clientData/>
  </xdr:oneCellAnchor>
  <xdr:oneCellAnchor>
    <xdr:from>
      <xdr:col>4</xdr:col>
      <xdr:colOff>209550</xdr:colOff>
      <xdr:row>171</xdr:row>
      <xdr:rowOff>28575</xdr:rowOff>
    </xdr:from>
    <xdr:ext cx="516295" cy="172227"/>
    <mc:AlternateContent xmlns:mc="http://schemas.openxmlformats.org/markup-compatibility/2006">
      <mc:Choice xmlns:a14="http://schemas.microsoft.com/office/drawing/2010/main" Requires="a14">
        <xdr:sp macro="" textlink="">
          <xdr:nvSpPr>
            <xdr:cNvPr id="37" name="CuadroTexto 23">
              <a:extLst>
                <a:ext uri="{FF2B5EF4-FFF2-40B4-BE49-F238E27FC236}">
                  <a16:creationId xmlns:a16="http://schemas.microsoft.com/office/drawing/2014/main" id="{65C8C2DC-F9D1-4346-855C-25D142D6C100}"/>
                </a:ext>
              </a:extLst>
            </xdr:cNvPr>
            <xdr:cNvSpPr txBox="1"/>
          </xdr:nvSpPr>
          <xdr:spPr>
            <a:xfrm>
              <a:off x="3841750" y="1806575"/>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2</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37" name="CuadroTexto 23">
              <a:extLst>
                <a:ext uri="{FF2B5EF4-FFF2-40B4-BE49-F238E27FC236}">
                  <a16:creationId xmlns:a16="http://schemas.microsoft.com/office/drawing/2014/main" id="{65C8C2DC-F9D1-4346-855C-25D142D6C100}"/>
                </a:ext>
              </a:extLst>
            </xdr:cNvPr>
            <xdr:cNvSpPr txBox="1"/>
          </xdr:nvSpPr>
          <xdr:spPr>
            <a:xfrm>
              <a:off x="3841750" y="1806575"/>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〖𝐷𝑃𝐴〗_2=</a:t>
              </a:r>
              <a:endParaRPr lang="es-AR" sz="1100"/>
            </a:p>
          </xdr:txBody>
        </xdr:sp>
      </mc:Fallback>
    </mc:AlternateContent>
    <xdr:clientData/>
  </xdr:oneCellAnchor>
  <xdr:oneCellAnchor>
    <xdr:from>
      <xdr:col>4</xdr:col>
      <xdr:colOff>200025</xdr:colOff>
      <xdr:row>172</xdr:row>
      <xdr:rowOff>28575</xdr:rowOff>
    </xdr:from>
    <xdr:ext cx="516295" cy="172227"/>
    <mc:AlternateContent xmlns:mc="http://schemas.openxmlformats.org/markup-compatibility/2006">
      <mc:Choice xmlns:a14="http://schemas.microsoft.com/office/drawing/2010/main" Requires="a14">
        <xdr:sp macro="" textlink="">
          <xdr:nvSpPr>
            <xdr:cNvPr id="38" name="CuadroTexto 24">
              <a:extLst>
                <a:ext uri="{FF2B5EF4-FFF2-40B4-BE49-F238E27FC236}">
                  <a16:creationId xmlns:a16="http://schemas.microsoft.com/office/drawing/2014/main" id="{83AB5B1C-275B-2247-9BD1-1101617617CD}"/>
                </a:ext>
              </a:extLst>
            </xdr:cNvPr>
            <xdr:cNvSpPr txBox="1"/>
          </xdr:nvSpPr>
          <xdr:spPr>
            <a:xfrm>
              <a:off x="3832225" y="1997075"/>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3</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38" name="CuadroTexto 24">
              <a:extLst>
                <a:ext uri="{FF2B5EF4-FFF2-40B4-BE49-F238E27FC236}">
                  <a16:creationId xmlns:a16="http://schemas.microsoft.com/office/drawing/2014/main" id="{83AB5B1C-275B-2247-9BD1-1101617617CD}"/>
                </a:ext>
              </a:extLst>
            </xdr:cNvPr>
            <xdr:cNvSpPr txBox="1"/>
          </xdr:nvSpPr>
          <xdr:spPr>
            <a:xfrm>
              <a:off x="3832225" y="1997075"/>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〖𝐷𝑃𝐴〗_3=</a:t>
              </a:r>
              <a:endParaRPr lang="es-AR" sz="1100"/>
            </a:p>
          </xdr:txBody>
        </xdr:sp>
      </mc:Fallback>
    </mc:AlternateContent>
    <xdr:clientData/>
  </xdr:oneCellAnchor>
  <xdr:oneCellAnchor>
    <xdr:from>
      <xdr:col>4</xdr:col>
      <xdr:colOff>0</xdr:colOff>
      <xdr:row>178</xdr:row>
      <xdr:rowOff>0</xdr:rowOff>
    </xdr:from>
    <xdr:ext cx="516295" cy="172227"/>
    <mc:AlternateContent xmlns:mc="http://schemas.openxmlformats.org/markup-compatibility/2006">
      <mc:Choice xmlns:a14="http://schemas.microsoft.com/office/drawing/2010/main" Requires="a14">
        <xdr:sp macro="" textlink="">
          <xdr:nvSpPr>
            <xdr:cNvPr id="39" name="CuadroTexto 25">
              <a:extLst>
                <a:ext uri="{FF2B5EF4-FFF2-40B4-BE49-F238E27FC236}">
                  <a16:creationId xmlns:a16="http://schemas.microsoft.com/office/drawing/2014/main" id="{A1B0CA1C-083F-6347-991F-4506B2D6F02B}"/>
                </a:ext>
              </a:extLst>
            </xdr:cNvPr>
            <xdr:cNvSpPr txBox="1"/>
          </xdr:nvSpPr>
          <xdr:spPr>
            <a:xfrm>
              <a:off x="3632200" y="3111500"/>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4</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39" name="CuadroTexto 25">
              <a:extLst>
                <a:ext uri="{FF2B5EF4-FFF2-40B4-BE49-F238E27FC236}">
                  <a16:creationId xmlns:a16="http://schemas.microsoft.com/office/drawing/2014/main" id="{A1B0CA1C-083F-6347-991F-4506B2D6F02B}"/>
                </a:ext>
              </a:extLst>
            </xdr:cNvPr>
            <xdr:cNvSpPr txBox="1"/>
          </xdr:nvSpPr>
          <xdr:spPr>
            <a:xfrm>
              <a:off x="3632200" y="3111500"/>
              <a:ext cx="516295"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〖𝐷𝑃𝐴〗_4=</a:t>
              </a:r>
              <a:endParaRPr lang="es-AR" sz="1100"/>
            </a:p>
          </xdr:txBody>
        </xdr:sp>
      </mc:Fallback>
    </mc:AlternateContent>
    <xdr:clientData/>
  </xdr:oneCellAnchor>
  <xdr:twoCellAnchor editAs="oneCell">
    <xdr:from>
      <xdr:col>0</xdr:col>
      <xdr:colOff>1</xdr:colOff>
      <xdr:row>145</xdr:row>
      <xdr:rowOff>134867</xdr:rowOff>
    </xdr:from>
    <xdr:to>
      <xdr:col>4</xdr:col>
      <xdr:colOff>840674</xdr:colOff>
      <xdr:row>160</xdr:row>
      <xdr:rowOff>149941</xdr:rowOff>
    </xdr:to>
    <xdr:pic>
      <xdr:nvPicPr>
        <xdr:cNvPr id="40" name="Picture 39">
          <a:extLst>
            <a:ext uri="{FF2B5EF4-FFF2-40B4-BE49-F238E27FC236}">
              <a16:creationId xmlns:a16="http://schemas.microsoft.com/office/drawing/2014/main" id="{0057B402-15D9-4A82-2D47-23E8BCBA815C}"/>
            </a:ext>
          </a:extLst>
        </xdr:cNvPr>
        <xdr:cNvPicPr>
          <a:picLocks noChangeAspect="1"/>
        </xdr:cNvPicPr>
      </xdr:nvPicPr>
      <xdr:blipFill>
        <a:blip xmlns:r="http://schemas.openxmlformats.org/officeDocument/2006/relationships" r:embed="rId6"/>
        <a:stretch>
          <a:fillRect/>
        </a:stretch>
      </xdr:blipFill>
      <xdr:spPr>
        <a:xfrm>
          <a:off x="1" y="30614867"/>
          <a:ext cx="4180885" cy="3049587"/>
        </a:xfrm>
        <a:prstGeom prst="rect">
          <a:avLst/>
        </a:prstGeom>
      </xdr:spPr>
    </xdr:pic>
    <xdr:clientData/>
  </xdr:twoCellAnchor>
  <xdr:twoCellAnchor editAs="oneCell">
    <xdr:from>
      <xdr:col>0</xdr:col>
      <xdr:colOff>280974</xdr:colOff>
      <xdr:row>228</xdr:row>
      <xdr:rowOff>78671</xdr:rowOff>
    </xdr:from>
    <xdr:to>
      <xdr:col>9</xdr:col>
      <xdr:colOff>186341</xdr:colOff>
      <xdr:row>258</xdr:row>
      <xdr:rowOff>186192</xdr:rowOff>
    </xdr:to>
    <xdr:pic>
      <xdr:nvPicPr>
        <xdr:cNvPr id="41" name="Picture 40">
          <a:extLst>
            <a:ext uri="{FF2B5EF4-FFF2-40B4-BE49-F238E27FC236}">
              <a16:creationId xmlns:a16="http://schemas.microsoft.com/office/drawing/2014/main" id="{6A877E5F-C34A-2E0F-8F81-753BD1779722}"/>
            </a:ext>
          </a:extLst>
        </xdr:cNvPr>
        <xdr:cNvPicPr>
          <a:picLocks noChangeAspect="1"/>
        </xdr:cNvPicPr>
      </xdr:nvPicPr>
      <xdr:blipFill>
        <a:blip xmlns:r="http://schemas.openxmlformats.org/officeDocument/2006/relationships" r:embed="rId7"/>
        <a:stretch>
          <a:fillRect/>
        </a:stretch>
      </xdr:blipFill>
      <xdr:spPr>
        <a:xfrm>
          <a:off x="280974" y="47698052"/>
          <a:ext cx="8013362" cy="6176547"/>
        </a:xfrm>
        <a:prstGeom prst="rect">
          <a:avLst/>
        </a:prstGeom>
      </xdr:spPr>
    </xdr:pic>
    <xdr:clientData/>
  </xdr:twoCellAnchor>
  <xdr:twoCellAnchor editAs="oneCell">
    <xdr:from>
      <xdr:col>10</xdr:col>
      <xdr:colOff>12175</xdr:colOff>
      <xdr:row>243</xdr:row>
      <xdr:rowOff>28635</xdr:rowOff>
    </xdr:from>
    <xdr:to>
      <xdr:col>15</xdr:col>
      <xdr:colOff>833120</xdr:colOff>
      <xdr:row>249</xdr:row>
      <xdr:rowOff>115755</xdr:rowOff>
    </xdr:to>
    <xdr:pic>
      <xdr:nvPicPr>
        <xdr:cNvPr id="42" name="Picture 41">
          <a:extLst>
            <a:ext uri="{FF2B5EF4-FFF2-40B4-BE49-F238E27FC236}">
              <a16:creationId xmlns:a16="http://schemas.microsoft.com/office/drawing/2014/main" id="{30C7E56D-DD5E-E6B3-7B0C-6069B7A413DC}"/>
            </a:ext>
          </a:extLst>
        </xdr:cNvPr>
        <xdr:cNvPicPr>
          <a:picLocks noChangeAspect="1"/>
        </xdr:cNvPicPr>
      </xdr:nvPicPr>
      <xdr:blipFill>
        <a:blip xmlns:r="http://schemas.openxmlformats.org/officeDocument/2006/relationships" r:embed="rId8"/>
        <a:stretch>
          <a:fillRect/>
        </a:stretch>
      </xdr:blipFill>
      <xdr:spPr>
        <a:xfrm>
          <a:off x="8983455" y="50909915"/>
          <a:ext cx="5027185" cy="1306320"/>
        </a:xfrm>
        <a:prstGeom prst="rect">
          <a:avLst/>
        </a:prstGeom>
      </xdr:spPr>
    </xdr:pic>
    <xdr:clientData/>
  </xdr:twoCellAnchor>
  <xdr:twoCellAnchor editAs="oneCell">
    <xdr:from>
      <xdr:col>9</xdr:col>
      <xdr:colOff>647701</xdr:colOff>
      <xdr:row>251</xdr:row>
      <xdr:rowOff>61350</xdr:rowOff>
    </xdr:from>
    <xdr:to>
      <xdr:col>15</xdr:col>
      <xdr:colOff>609600</xdr:colOff>
      <xdr:row>259</xdr:row>
      <xdr:rowOff>52492</xdr:rowOff>
    </xdr:to>
    <xdr:pic>
      <xdr:nvPicPr>
        <xdr:cNvPr id="43" name="Picture 42">
          <a:extLst>
            <a:ext uri="{FF2B5EF4-FFF2-40B4-BE49-F238E27FC236}">
              <a16:creationId xmlns:a16="http://schemas.microsoft.com/office/drawing/2014/main" id="{0BAF4CD6-1CD8-6F75-C5BD-E25AD5D1BFB2}"/>
            </a:ext>
          </a:extLst>
        </xdr:cNvPr>
        <xdr:cNvPicPr>
          <a:picLocks noChangeAspect="1"/>
        </xdr:cNvPicPr>
      </xdr:nvPicPr>
      <xdr:blipFill>
        <a:blip xmlns:r="http://schemas.openxmlformats.org/officeDocument/2006/relationships" r:embed="rId9"/>
        <a:stretch>
          <a:fillRect/>
        </a:stretch>
      </xdr:blipFill>
      <xdr:spPr>
        <a:xfrm>
          <a:off x="8796021" y="52568230"/>
          <a:ext cx="4991099" cy="1616742"/>
        </a:xfrm>
        <a:prstGeom prst="rect">
          <a:avLst/>
        </a:prstGeom>
      </xdr:spPr>
    </xdr:pic>
    <xdr:clientData/>
  </xdr:twoCellAnchor>
  <xdr:oneCellAnchor>
    <xdr:from>
      <xdr:col>7</xdr:col>
      <xdr:colOff>590550</xdr:colOff>
      <xdr:row>279</xdr:row>
      <xdr:rowOff>14287</xdr:rowOff>
    </xdr:from>
    <xdr:ext cx="3392531" cy="503086"/>
    <mc:AlternateContent xmlns:mc="http://schemas.openxmlformats.org/markup-compatibility/2006">
      <mc:Choice xmlns:a14="http://schemas.microsoft.com/office/drawing/2010/main" Requires="a14">
        <xdr:sp macro="" textlink="">
          <xdr:nvSpPr>
            <xdr:cNvPr id="44" name="CuadroTexto 7">
              <a:extLst>
                <a:ext uri="{FF2B5EF4-FFF2-40B4-BE49-F238E27FC236}">
                  <a16:creationId xmlns:a16="http://schemas.microsoft.com/office/drawing/2014/main" id="{78F958DD-838B-5945-BFB3-442ABD65BD75}"/>
                </a:ext>
              </a:extLst>
            </xdr:cNvPr>
            <xdr:cNvSpPr txBox="1"/>
          </xdr:nvSpPr>
          <xdr:spPr>
            <a:xfrm>
              <a:off x="7308850" y="3506787"/>
              <a:ext cx="3392531" cy="50308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𝑃</m:t>
                        </m:r>
                      </m:e>
                      <m:sub>
                        <m:r>
                          <a:rPr lang="es-AR" sz="1100" b="0" i="1">
                            <a:latin typeface="Cambria Math" panose="02040503050406030204" pitchFamily="18" charset="0"/>
                          </a:rPr>
                          <m:t>0</m:t>
                        </m:r>
                      </m:sub>
                    </m:sSub>
                    <m:r>
                      <a:rPr lang="es-AR" sz="1100" b="0" i="1">
                        <a:latin typeface="Cambria Math" panose="02040503050406030204" pitchFamily="18" charset="0"/>
                      </a:rPr>
                      <m:t>=</m:t>
                    </m:r>
                    <m:f>
                      <m:fPr>
                        <m:ctrlPr>
                          <a:rPr lang="es-AR" sz="1100" b="0" i="1">
                            <a:latin typeface="Cambria Math" panose="02040503050406030204" pitchFamily="18" charset="0"/>
                          </a:rPr>
                        </m:ctrlPr>
                      </m:fPr>
                      <m:num>
                        <m:sSub>
                          <m:sSubPr>
                            <m:ctrlPr>
                              <a:rPr lang="es-AR" sz="1100" b="0" i="1">
                                <a:latin typeface="Cambria Math" panose="02040503050406030204" pitchFamily="18" charset="0"/>
                              </a:rPr>
                            </m:ctrlPr>
                          </m:sSubPr>
                          <m:e>
                            <m:r>
                              <a:rPr lang="es-AR" sz="1100" b="0" i="1">
                                <a:latin typeface="Cambria Math" panose="02040503050406030204" pitchFamily="18" charset="0"/>
                              </a:rPr>
                              <m:t>𝐷𝑃𝐴</m:t>
                            </m:r>
                          </m:e>
                          <m:sub>
                            <m:r>
                              <a:rPr lang="es-AR" sz="1100" b="0" i="1">
                                <a:latin typeface="Cambria Math" panose="02040503050406030204" pitchFamily="18" charset="0"/>
                              </a:rPr>
                              <m:t>0</m:t>
                            </m:r>
                          </m:sub>
                        </m:sSub>
                        <m:d>
                          <m:dPr>
                            <m:ctrlPr>
                              <a:rPr lang="es-AR" sz="1100" b="0" i="1">
                                <a:latin typeface="Cambria Math" panose="02040503050406030204" pitchFamily="18" charset="0"/>
                              </a:rPr>
                            </m:ctrlPr>
                          </m:dPr>
                          <m:e>
                            <m:r>
                              <a:rPr lang="es-AR" sz="1100" b="0" i="1">
                                <a:latin typeface="Cambria Math" panose="02040503050406030204" pitchFamily="18" charset="0"/>
                              </a:rPr>
                              <m:t>1+</m:t>
                            </m:r>
                            <m:sSub>
                              <m:sSubPr>
                                <m:ctrlPr>
                                  <a:rPr lang="es-AR" sz="1100" b="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1</m:t>
                                </m:r>
                              </m:sub>
                            </m:sSub>
                          </m:e>
                        </m:d>
                        <m:d>
                          <m:dPr>
                            <m:ctrlPr>
                              <a:rPr lang="es-AR" sz="1100" b="0" i="1">
                                <a:latin typeface="Cambria Math" panose="02040503050406030204" pitchFamily="18" charset="0"/>
                              </a:rPr>
                            </m:ctrlPr>
                          </m:dPr>
                          <m:e>
                            <m:r>
                              <a:rPr lang="es-AR" sz="1100" b="0" i="1">
                                <a:latin typeface="Cambria Math" panose="02040503050406030204" pitchFamily="18" charset="0"/>
                              </a:rPr>
                              <m:t>1−</m:t>
                            </m:r>
                            <m:f>
                              <m:fPr>
                                <m:ctrlPr>
                                  <a:rPr lang="es-AR" sz="1100" b="0" i="1">
                                    <a:latin typeface="Cambria Math" panose="02040503050406030204" pitchFamily="18" charset="0"/>
                                  </a:rPr>
                                </m:ctrlPr>
                              </m:fPr>
                              <m:num>
                                <m:sSup>
                                  <m:sSupPr>
                                    <m:ctrlPr>
                                      <a:rPr lang="es-AR" sz="1100" b="0" i="1">
                                        <a:latin typeface="Cambria Math" panose="02040503050406030204" pitchFamily="18" charset="0"/>
                                      </a:rPr>
                                    </m:ctrlPr>
                                  </m:sSupPr>
                                  <m:e>
                                    <m:d>
                                      <m:dPr>
                                        <m:ctrlPr>
                                          <a:rPr lang="es-AR" sz="1100" b="0" i="1">
                                            <a:latin typeface="Cambria Math" panose="02040503050406030204" pitchFamily="18" charset="0"/>
                                          </a:rPr>
                                        </m:ctrlPr>
                                      </m:dPr>
                                      <m:e>
                                        <m:r>
                                          <a:rPr lang="es-AR" sz="1100" b="0" i="1">
                                            <a:latin typeface="Cambria Math" panose="02040503050406030204" pitchFamily="18" charset="0"/>
                                          </a:rPr>
                                          <m:t>1+</m:t>
                                        </m:r>
                                        <m:sSub>
                                          <m:sSubPr>
                                            <m:ctrlPr>
                                              <a:rPr lang="es-AR" sz="1100" b="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1</m:t>
                                            </m:r>
                                          </m:sub>
                                        </m:sSub>
                                      </m:e>
                                    </m:d>
                                  </m:e>
                                  <m:sup>
                                    <m:r>
                                      <a:rPr lang="es-AR" sz="1100" b="0" i="1">
                                        <a:latin typeface="Cambria Math" panose="02040503050406030204" pitchFamily="18" charset="0"/>
                                      </a:rPr>
                                      <m:t>𝑛</m:t>
                                    </m:r>
                                  </m:sup>
                                </m:sSup>
                              </m:num>
                              <m:den>
                                <m:sSup>
                                  <m:sSupPr>
                                    <m:ctrlPr>
                                      <a:rPr lang="es-AR" sz="1100" b="0" i="1">
                                        <a:latin typeface="Cambria Math" panose="02040503050406030204" pitchFamily="18" charset="0"/>
                                      </a:rPr>
                                    </m:ctrlPr>
                                  </m:sSupPr>
                                  <m:e>
                                    <m:d>
                                      <m:dPr>
                                        <m:ctrlPr>
                                          <a:rPr lang="es-AR" sz="1100" b="0" i="1">
                                            <a:latin typeface="Cambria Math" panose="02040503050406030204" pitchFamily="18" charset="0"/>
                                          </a:rPr>
                                        </m:ctrlPr>
                                      </m:dPr>
                                      <m:e>
                                        <m:r>
                                          <a:rPr lang="es-AR" sz="1100" b="0" i="1">
                                            <a:latin typeface="Cambria Math" panose="02040503050406030204" pitchFamily="18" charset="0"/>
                                          </a:rPr>
                                          <m:t>1+</m:t>
                                        </m:r>
                                        <m:r>
                                          <a:rPr lang="es-AR" sz="1100" b="0" i="1">
                                            <a:latin typeface="Cambria Math" panose="02040503050406030204" pitchFamily="18" charset="0"/>
                                          </a:rPr>
                                          <m:t>𝑘</m:t>
                                        </m:r>
                                      </m:e>
                                    </m:d>
                                  </m:e>
                                  <m:sup>
                                    <m:r>
                                      <a:rPr lang="es-AR" sz="1100" b="0" i="1">
                                        <a:latin typeface="Cambria Math" panose="02040503050406030204" pitchFamily="18" charset="0"/>
                                      </a:rPr>
                                      <m:t>𝑛</m:t>
                                    </m:r>
                                  </m:sup>
                                </m:sSup>
                              </m:den>
                            </m:f>
                          </m:e>
                        </m:d>
                      </m:num>
                      <m:den>
                        <m:r>
                          <a:rPr lang="es-AR" sz="1100" b="0" i="1">
                            <a:latin typeface="Cambria Math" panose="02040503050406030204" pitchFamily="18" charset="0"/>
                          </a:rPr>
                          <m:t>𝑘</m:t>
                        </m:r>
                        <m:r>
                          <a:rPr lang="es-AR" sz="1100" b="0" i="1">
                            <a:latin typeface="Cambria Math" panose="02040503050406030204" pitchFamily="18" charset="0"/>
                          </a:rPr>
                          <m:t>−</m:t>
                        </m:r>
                        <m:sSub>
                          <m:sSubPr>
                            <m:ctrlPr>
                              <a:rPr lang="es-AR" sz="1100" b="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1</m:t>
                            </m:r>
                          </m:sub>
                        </m:sSub>
                      </m:den>
                    </m:f>
                    <m:r>
                      <a:rPr lang="es-AR" sz="1100" b="0" i="1">
                        <a:latin typeface="Cambria Math" panose="02040503050406030204" pitchFamily="18" charset="0"/>
                      </a:rPr>
                      <m:t>+</m:t>
                    </m:r>
                    <m:f>
                      <m:fPr>
                        <m:ctrlPr>
                          <a:rPr lang="es-AR" sz="1100" b="0" i="1">
                            <a:latin typeface="Cambria Math" panose="02040503050406030204" pitchFamily="18" charset="0"/>
                          </a:rPr>
                        </m:ctrlPr>
                      </m:fPr>
                      <m:num>
                        <m:sSub>
                          <m:sSubPr>
                            <m:ctrlPr>
                              <a:rPr lang="es-AR" sz="1100" b="0" i="1">
                                <a:latin typeface="Cambria Math" panose="02040503050406030204" pitchFamily="18" charset="0"/>
                              </a:rPr>
                            </m:ctrlPr>
                          </m:sSubPr>
                          <m:e>
                            <m:r>
                              <a:rPr lang="es-AR" sz="1100" b="0" i="1">
                                <a:latin typeface="Cambria Math" panose="02040503050406030204" pitchFamily="18" charset="0"/>
                              </a:rPr>
                              <m:t>𝐷𝑃𝐴</m:t>
                            </m:r>
                          </m:e>
                          <m:sub>
                            <m:r>
                              <a:rPr lang="es-AR" sz="1100" b="0" i="1">
                                <a:latin typeface="Cambria Math" panose="02040503050406030204" pitchFamily="18" charset="0"/>
                              </a:rPr>
                              <m:t>𝑛</m:t>
                            </m:r>
                            <m:r>
                              <a:rPr lang="es-AR" sz="1100" b="0" i="1">
                                <a:latin typeface="Cambria Math" panose="02040503050406030204" pitchFamily="18" charset="0"/>
                              </a:rPr>
                              <m:t>+1</m:t>
                            </m:r>
                          </m:sub>
                        </m:sSub>
                      </m:num>
                      <m:den>
                        <m:d>
                          <m:dPr>
                            <m:ctrlPr>
                              <a:rPr lang="es-AR" sz="1100" b="0" i="1">
                                <a:latin typeface="Cambria Math" panose="02040503050406030204" pitchFamily="18" charset="0"/>
                              </a:rPr>
                            </m:ctrlPr>
                          </m:dPr>
                          <m:e>
                            <m:r>
                              <a:rPr lang="es-AR" sz="1100" b="0" i="1">
                                <a:latin typeface="Cambria Math" panose="02040503050406030204" pitchFamily="18" charset="0"/>
                              </a:rPr>
                              <m:t>𝑘</m:t>
                            </m:r>
                            <m:r>
                              <a:rPr lang="es-AR" sz="1100" b="0" i="1">
                                <a:latin typeface="Cambria Math" panose="02040503050406030204" pitchFamily="18" charset="0"/>
                              </a:rPr>
                              <m:t>−</m:t>
                            </m:r>
                            <m:sSub>
                              <m:sSubPr>
                                <m:ctrlPr>
                                  <a:rPr lang="es-AR" sz="1100" b="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2</m:t>
                                </m:r>
                              </m:sub>
                            </m:sSub>
                          </m:e>
                        </m:d>
                        <m:sSup>
                          <m:sSupPr>
                            <m:ctrlPr>
                              <a:rPr lang="es-AR" sz="1100" b="0" i="1">
                                <a:latin typeface="Cambria Math" panose="02040503050406030204" pitchFamily="18" charset="0"/>
                              </a:rPr>
                            </m:ctrlPr>
                          </m:sSupPr>
                          <m:e>
                            <m:d>
                              <m:dPr>
                                <m:ctrlPr>
                                  <a:rPr lang="es-AR" sz="1100" b="0" i="1">
                                    <a:latin typeface="Cambria Math" panose="02040503050406030204" pitchFamily="18" charset="0"/>
                                  </a:rPr>
                                </m:ctrlPr>
                              </m:dPr>
                              <m:e>
                                <m:r>
                                  <a:rPr lang="es-AR" sz="1100" b="0" i="1">
                                    <a:latin typeface="Cambria Math" panose="02040503050406030204" pitchFamily="18" charset="0"/>
                                  </a:rPr>
                                  <m:t>1+</m:t>
                                </m:r>
                                <m:r>
                                  <a:rPr lang="es-AR" sz="1100" b="0" i="1">
                                    <a:latin typeface="Cambria Math" panose="02040503050406030204" pitchFamily="18" charset="0"/>
                                  </a:rPr>
                                  <m:t>𝑘</m:t>
                                </m:r>
                              </m:e>
                            </m:d>
                          </m:e>
                          <m:sup>
                            <m:r>
                              <a:rPr lang="es-AR" sz="1100" b="0" i="1">
                                <a:latin typeface="Cambria Math" panose="02040503050406030204" pitchFamily="18" charset="0"/>
                              </a:rPr>
                              <m:t>𝑛</m:t>
                            </m:r>
                          </m:sup>
                        </m:sSup>
                      </m:den>
                    </m:f>
                  </m:oMath>
                </m:oMathPara>
              </a14:m>
              <a:endParaRPr lang="es-AR" sz="1100"/>
            </a:p>
          </xdr:txBody>
        </xdr:sp>
      </mc:Choice>
      <mc:Fallback>
        <xdr:sp macro="" textlink="">
          <xdr:nvSpPr>
            <xdr:cNvPr id="44" name="CuadroTexto 7">
              <a:extLst>
                <a:ext uri="{FF2B5EF4-FFF2-40B4-BE49-F238E27FC236}">
                  <a16:creationId xmlns:a16="http://schemas.microsoft.com/office/drawing/2014/main" id="{78F958DD-838B-5945-BFB3-442ABD65BD75}"/>
                </a:ext>
              </a:extLst>
            </xdr:cNvPr>
            <xdr:cNvSpPr txBox="1"/>
          </xdr:nvSpPr>
          <xdr:spPr>
            <a:xfrm>
              <a:off x="7308850" y="3506787"/>
              <a:ext cx="3392531" cy="50308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𝑃_0=(〖𝐷𝑃𝐴〗_0 (1+𝑔_1 )(1−(1+𝑔_1 )^𝑛/(1+𝑘)^𝑛 ))/(𝑘−𝑔_1 )+〖𝐷𝑃𝐴〗_(𝑛+1)/((𝑘−𝑔_2 ) (1+𝑘)^𝑛 )</a:t>
              </a:r>
              <a:endParaRPr lang="es-AR" sz="1100"/>
            </a:p>
          </xdr:txBody>
        </xdr:sp>
      </mc:Fallback>
    </mc:AlternateContent>
    <xdr:clientData/>
  </xdr:oneCellAnchor>
  <xdr:oneCellAnchor>
    <xdr:from>
      <xdr:col>14</xdr:col>
      <xdr:colOff>123825</xdr:colOff>
      <xdr:row>278</xdr:row>
      <xdr:rowOff>33337</xdr:rowOff>
    </xdr:from>
    <xdr:ext cx="504818" cy="172227"/>
    <mc:AlternateContent xmlns:mc="http://schemas.openxmlformats.org/markup-compatibility/2006">
      <mc:Choice xmlns:a14="http://schemas.microsoft.com/office/drawing/2010/main" Requires="a14">
        <xdr:sp macro="" textlink="">
          <xdr:nvSpPr>
            <xdr:cNvPr id="45" name="CuadroTexto 10">
              <a:extLst>
                <a:ext uri="{FF2B5EF4-FFF2-40B4-BE49-F238E27FC236}">
                  <a16:creationId xmlns:a16="http://schemas.microsoft.com/office/drawing/2014/main" id="{CA382978-54ED-1748-92E0-E124BA66CFB3}"/>
                </a:ext>
              </a:extLst>
            </xdr:cNvPr>
            <xdr:cNvSpPr txBox="1"/>
          </xdr:nvSpPr>
          <xdr:spPr>
            <a:xfrm>
              <a:off x="12976225" y="3335337"/>
              <a:ext cx="504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𝐷𝑃𝐴</m:t>
                        </m:r>
                      </m:e>
                      <m:sub>
                        <m:r>
                          <a:rPr lang="es-AR" sz="1100" b="0" i="1">
                            <a:solidFill>
                              <a:schemeClr val="tx1"/>
                            </a:solidFill>
                            <a:effectLst/>
                            <a:latin typeface="Cambria Math" panose="02040503050406030204" pitchFamily="18" charset="0"/>
                            <a:ea typeface="+mn-ea"/>
                            <a:cs typeface="+mn-cs"/>
                          </a:rPr>
                          <m:t>𝑡</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45" name="CuadroTexto 10">
              <a:extLst>
                <a:ext uri="{FF2B5EF4-FFF2-40B4-BE49-F238E27FC236}">
                  <a16:creationId xmlns:a16="http://schemas.microsoft.com/office/drawing/2014/main" id="{CA382978-54ED-1748-92E0-E124BA66CFB3}"/>
                </a:ext>
              </a:extLst>
            </xdr:cNvPr>
            <xdr:cNvSpPr txBox="1"/>
          </xdr:nvSpPr>
          <xdr:spPr>
            <a:xfrm>
              <a:off x="12976225" y="3335337"/>
              <a:ext cx="50481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〖𝐷𝑃𝐴〗_𝑡=</a:t>
              </a:r>
              <a:endParaRPr lang="es-AR" sz="1100"/>
            </a:p>
          </xdr:txBody>
        </xdr:sp>
      </mc:Fallback>
    </mc:AlternateContent>
    <xdr:clientData/>
  </xdr:oneCellAnchor>
  <xdr:oneCellAnchor>
    <xdr:from>
      <xdr:col>14</xdr:col>
      <xdr:colOff>295275</xdr:colOff>
      <xdr:row>279</xdr:row>
      <xdr:rowOff>152400</xdr:rowOff>
    </xdr:from>
    <xdr:ext cx="311880" cy="172227"/>
    <mc:AlternateContent xmlns:mc="http://schemas.openxmlformats.org/markup-compatibility/2006">
      <mc:Choice xmlns:a14="http://schemas.microsoft.com/office/drawing/2010/main" Requires="a14">
        <xdr:sp macro="" textlink="">
          <xdr:nvSpPr>
            <xdr:cNvPr id="46" name="CuadroTexto 11">
              <a:extLst>
                <a:ext uri="{FF2B5EF4-FFF2-40B4-BE49-F238E27FC236}">
                  <a16:creationId xmlns:a16="http://schemas.microsoft.com/office/drawing/2014/main" id="{4CCA8D64-C334-3C41-B646-7BFDE9FED3C4}"/>
                </a:ext>
              </a:extLst>
            </xdr:cNvPr>
            <xdr:cNvSpPr txBox="1"/>
          </xdr:nvSpPr>
          <xdr:spPr>
            <a:xfrm>
              <a:off x="13147675" y="3644900"/>
              <a:ext cx="3118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b="0" i="1">
                            <a:solidFill>
                              <a:schemeClr val="tx1"/>
                            </a:solidFill>
                            <a:effectLst/>
                            <a:latin typeface="Cambria Math" panose="02040503050406030204" pitchFamily="18" charset="0"/>
                            <a:ea typeface="+mn-ea"/>
                            <a:cs typeface="+mn-cs"/>
                          </a:rPr>
                        </m:ctrlPr>
                      </m:sSubPr>
                      <m:e>
                        <m:r>
                          <a:rPr lang="es-AR" sz="1100" b="0" i="1">
                            <a:solidFill>
                              <a:schemeClr val="tx1"/>
                            </a:solidFill>
                            <a:effectLst/>
                            <a:latin typeface="Cambria Math" panose="02040503050406030204" pitchFamily="18" charset="0"/>
                            <a:ea typeface="+mn-ea"/>
                            <a:cs typeface="+mn-cs"/>
                          </a:rPr>
                          <m:t>𝑔</m:t>
                        </m:r>
                      </m:e>
                      <m:sub>
                        <m:r>
                          <a:rPr lang="es-AR" sz="1100" b="0" i="1">
                            <a:solidFill>
                              <a:schemeClr val="tx1"/>
                            </a:solidFill>
                            <a:effectLst/>
                            <a:latin typeface="Cambria Math" panose="02040503050406030204" pitchFamily="18" charset="0"/>
                            <a:ea typeface="+mn-ea"/>
                            <a:cs typeface="+mn-cs"/>
                          </a:rPr>
                          <m:t>𝑡</m:t>
                        </m:r>
                      </m:sub>
                    </m:sSub>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46" name="CuadroTexto 11">
              <a:extLst>
                <a:ext uri="{FF2B5EF4-FFF2-40B4-BE49-F238E27FC236}">
                  <a16:creationId xmlns:a16="http://schemas.microsoft.com/office/drawing/2014/main" id="{4CCA8D64-C334-3C41-B646-7BFDE9FED3C4}"/>
                </a:ext>
              </a:extLst>
            </xdr:cNvPr>
            <xdr:cNvSpPr txBox="1"/>
          </xdr:nvSpPr>
          <xdr:spPr>
            <a:xfrm>
              <a:off x="13147675" y="3644900"/>
              <a:ext cx="31188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𝑔_𝑡=</a:t>
              </a:r>
              <a:endParaRPr lang="es-AR" sz="1100"/>
            </a:p>
          </xdr:txBody>
        </xdr:sp>
      </mc:Fallback>
    </mc:AlternateContent>
    <xdr:clientData/>
  </xdr:oneCellAnchor>
  <xdr:oneCellAnchor>
    <xdr:from>
      <xdr:col>14</xdr:col>
      <xdr:colOff>323850</xdr:colOff>
      <xdr:row>281</xdr:row>
      <xdr:rowOff>171450</xdr:rowOff>
    </xdr:from>
    <xdr:ext cx="258404" cy="172227"/>
    <mc:AlternateContent xmlns:mc="http://schemas.openxmlformats.org/markup-compatibility/2006">
      <mc:Choice xmlns:a14="http://schemas.microsoft.com/office/drawing/2010/main" Requires="a14">
        <xdr:sp macro="" textlink="">
          <xdr:nvSpPr>
            <xdr:cNvPr id="47" name="CuadroTexto 12">
              <a:extLst>
                <a:ext uri="{FF2B5EF4-FFF2-40B4-BE49-F238E27FC236}">
                  <a16:creationId xmlns:a16="http://schemas.microsoft.com/office/drawing/2014/main" id="{F195933E-219C-1846-B79A-0B2FFC53ABAA}"/>
                </a:ext>
              </a:extLst>
            </xdr:cNvPr>
            <xdr:cNvSpPr txBox="1"/>
          </xdr:nvSpPr>
          <xdr:spPr>
            <a:xfrm>
              <a:off x="13176250" y="4044950"/>
              <a:ext cx="25840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s-AR" sz="1100" b="0" i="1">
                        <a:solidFill>
                          <a:schemeClr val="tx1"/>
                        </a:solidFill>
                        <a:effectLst/>
                        <a:latin typeface="Cambria Math" panose="02040503050406030204" pitchFamily="18" charset="0"/>
                        <a:ea typeface="+mn-ea"/>
                        <a:cs typeface="+mn-cs"/>
                      </a:rPr>
                      <m:t>𝑘</m:t>
                    </m:r>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47" name="CuadroTexto 12">
              <a:extLst>
                <a:ext uri="{FF2B5EF4-FFF2-40B4-BE49-F238E27FC236}">
                  <a16:creationId xmlns:a16="http://schemas.microsoft.com/office/drawing/2014/main" id="{F195933E-219C-1846-B79A-0B2FFC53ABAA}"/>
                </a:ext>
              </a:extLst>
            </xdr:cNvPr>
            <xdr:cNvSpPr txBox="1"/>
          </xdr:nvSpPr>
          <xdr:spPr>
            <a:xfrm>
              <a:off x="13176250" y="4044950"/>
              <a:ext cx="25840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𝑘=</a:t>
              </a:r>
              <a:endParaRPr lang="es-AR" sz="1100"/>
            </a:p>
          </xdr:txBody>
        </xdr:sp>
      </mc:Fallback>
    </mc:AlternateContent>
    <xdr:clientData/>
  </xdr:oneCellAnchor>
  <xdr:oneCellAnchor>
    <xdr:from>
      <xdr:col>1</xdr:col>
      <xdr:colOff>523875</xdr:colOff>
      <xdr:row>287</xdr:row>
      <xdr:rowOff>9525</xdr:rowOff>
    </xdr:from>
    <xdr:ext cx="320088" cy="172227"/>
    <mc:AlternateContent xmlns:mc="http://schemas.openxmlformats.org/markup-compatibility/2006">
      <mc:Choice xmlns:a14="http://schemas.microsoft.com/office/drawing/2010/main" Requires="a14">
        <xdr:sp macro="" textlink="">
          <xdr:nvSpPr>
            <xdr:cNvPr id="48" name="CuadroTexto 14">
              <a:extLst>
                <a:ext uri="{FF2B5EF4-FFF2-40B4-BE49-F238E27FC236}">
                  <a16:creationId xmlns:a16="http://schemas.microsoft.com/office/drawing/2014/main" id="{F22044E2-4D24-CB4C-B7E5-154989F9110D}"/>
                </a:ext>
              </a:extLst>
            </xdr:cNvPr>
            <xdr:cNvSpPr txBox="1"/>
          </xdr:nvSpPr>
          <xdr:spPr>
            <a:xfrm>
              <a:off x="1400175" y="5038725"/>
              <a:ext cx="3200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1</m:t>
                        </m:r>
                      </m:sub>
                    </m:sSub>
                    <m:r>
                      <a:rPr lang="es-AR" sz="1100" b="0" i="1">
                        <a:latin typeface="Cambria Math" panose="02040503050406030204" pitchFamily="18" charset="0"/>
                      </a:rPr>
                      <m:t>=</m:t>
                    </m:r>
                  </m:oMath>
                </m:oMathPara>
              </a14:m>
              <a:endParaRPr lang="es-AR" sz="1100"/>
            </a:p>
          </xdr:txBody>
        </xdr:sp>
      </mc:Choice>
      <mc:Fallback>
        <xdr:sp macro="" textlink="">
          <xdr:nvSpPr>
            <xdr:cNvPr id="48" name="CuadroTexto 14">
              <a:extLst>
                <a:ext uri="{FF2B5EF4-FFF2-40B4-BE49-F238E27FC236}">
                  <a16:creationId xmlns:a16="http://schemas.microsoft.com/office/drawing/2014/main" id="{F22044E2-4D24-CB4C-B7E5-154989F9110D}"/>
                </a:ext>
              </a:extLst>
            </xdr:cNvPr>
            <xdr:cNvSpPr txBox="1"/>
          </xdr:nvSpPr>
          <xdr:spPr>
            <a:xfrm>
              <a:off x="1400175" y="5038725"/>
              <a:ext cx="320088"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𝑔_1=</a:t>
              </a:r>
              <a:endParaRPr lang="es-AR" sz="1100"/>
            </a:p>
          </xdr:txBody>
        </xdr:sp>
      </mc:Fallback>
    </mc:AlternateContent>
    <xdr:clientData/>
  </xdr:oneCellAnchor>
  <xdr:oneCellAnchor>
    <xdr:from>
      <xdr:col>1</xdr:col>
      <xdr:colOff>495300</xdr:colOff>
      <xdr:row>289</xdr:row>
      <xdr:rowOff>66675</xdr:rowOff>
    </xdr:from>
    <xdr:ext cx="258404" cy="172227"/>
    <mc:AlternateContent xmlns:mc="http://schemas.openxmlformats.org/markup-compatibility/2006">
      <mc:Choice xmlns:a14="http://schemas.microsoft.com/office/drawing/2010/main" Requires="a14">
        <xdr:sp macro="" textlink="">
          <xdr:nvSpPr>
            <xdr:cNvPr id="49" name="CuadroTexto 15">
              <a:extLst>
                <a:ext uri="{FF2B5EF4-FFF2-40B4-BE49-F238E27FC236}">
                  <a16:creationId xmlns:a16="http://schemas.microsoft.com/office/drawing/2014/main" id="{F9D6CF6C-32A6-D048-A514-3EBA361F4492}"/>
                </a:ext>
              </a:extLst>
            </xdr:cNvPr>
            <xdr:cNvSpPr txBox="1"/>
          </xdr:nvSpPr>
          <xdr:spPr>
            <a:xfrm>
              <a:off x="1371600" y="5476875"/>
              <a:ext cx="25840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s-AR" sz="1100" b="0" i="1">
                        <a:solidFill>
                          <a:schemeClr val="tx1"/>
                        </a:solidFill>
                        <a:effectLst/>
                        <a:latin typeface="Cambria Math" panose="02040503050406030204" pitchFamily="18" charset="0"/>
                        <a:ea typeface="+mn-ea"/>
                        <a:cs typeface="+mn-cs"/>
                      </a:rPr>
                      <m:t>𝑘</m:t>
                    </m:r>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49" name="CuadroTexto 15">
              <a:extLst>
                <a:ext uri="{FF2B5EF4-FFF2-40B4-BE49-F238E27FC236}">
                  <a16:creationId xmlns:a16="http://schemas.microsoft.com/office/drawing/2014/main" id="{F9D6CF6C-32A6-D048-A514-3EBA361F4492}"/>
                </a:ext>
              </a:extLst>
            </xdr:cNvPr>
            <xdr:cNvSpPr txBox="1"/>
          </xdr:nvSpPr>
          <xdr:spPr>
            <a:xfrm>
              <a:off x="1371600" y="5476875"/>
              <a:ext cx="25840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𝑘=</a:t>
              </a:r>
              <a:endParaRPr lang="es-AR" sz="1100"/>
            </a:p>
          </xdr:txBody>
        </xdr:sp>
      </mc:Fallback>
    </mc:AlternateContent>
    <xdr:clientData/>
  </xdr:oneCellAnchor>
  <xdr:oneCellAnchor>
    <xdr:from>
      <xdr:col>1</xdr:col>
      <xdr:colOff>523875</xdr:colOff>
      <xdr:row>300</xdr:row>
      <xdr:rowOff>9525</xdr:rowOff>
    </xdr:from>
    <xdr:ext cx="323357" cy="172227"/>
    <mc:AlternateContent xmlns:mc="http://schemas.openxmlformats.org/markup-compatibility/2006">
      <mc:Choice xmlns:a14="http://schemas.microsoft.com/office/drawing/2010/main" Requires="a14">
        <xdr:sp macro="" textlink="">
          <xdr:nvSpPr>
            <xdr:cNvPr id="50" name="CuadroTexto 17">
              <a:extLst>
                <a:ext uri="{FF2B5EF4-FFF2-40B4-BE49-F238E27FC236}">
                  <a16:creationId xmlns:a16="http://schemas.microsoft.com/office/drawing/2014/main" id="{44650CD4-6E89-3D44-A93F-3C9E3531A6E6}"/>
                </a:ext>
              </a:extLst>
            </xdr:cNvPr>
            <xdr:cNvSpPr txBox="1"/>
          </xdr:nvSpPr>
          <xdr:spPr>
            <a:xfrm>
              <a:off x="1400175" y="7527925"/>
              <a:ext cx="323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2</m:t>
                        </m:r>
                      </m:sub>
                    </m:sSub>
                    <m:r>
                      <a:rPr lang="es-AR" sz="1100" b="0" i="1">
                        <a:latin typeface="Cambria Math" panose="02040503050406030204" pitchFamily="18" charset="0"/>
                      </a:rPr>
                      <m:t>=</m:t>
                    </m:r>
                  </m:oMath>
                </m:oMathPara>
              </a14:m>
              <a:endParaRPr lang="es-AR" sz="1100"/>
            </a:p>
          </xdr:txBody>
        </xdr:sp>
      </mc:Choice>
      <mc:Fallback>
        <xdr:sp macro="" textlink="">
          <xdr:nvSpPr>
            <xdr:cNvPr id="50" name="CuadroTexto 17">
              <a:extLst>
                <a:ext uri="{FF2B5EF4-FFF2-40B4-BE49-F238E27FC236}">
                  <a16:creationId xmlns:a16="http://schemas.microsoft.com/office/drawing/2014/main" id="{44650CD4-6E89-3D44-A93F-3C9E3531A6E6}"/>
                </a:ext>
              </a:extLst>
            </xdr:cNvPr>
            <xdr:cNvSpPr txBox="1"/>
          </xdr:nvSpPr>
          <xdr:spPr>
            <a:xfrm>
              <a:off x="1400175" y="7527925"/>
              <a:ext cx="323357"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𝑔_2=</a:t>
              </a:r>
              <a:endParaRPr lang="es-AR" sz="1100"/>
            </a:p>
          </xdr:txBody>
        </xdr:sp>
      </mc:Fallback>
    </mc:AlternateContent>
    <xdr:clientData/>
  </xdr:oneCellAnchor>
  <xdr:oneCellAnchor>
    <xdr:from>
      <xdr:col>1</xdr:col>
      <xdr:colOff>581025</xdr:colOff>
      <xdr:row>302</xdr:row>
      <xdr:rowOff>0</xdr:rowOff>
    </xdr:from>
    <xdr:ext cx="258404" cy="172227"/>
    <mc:AlternateContent xmlns:mc="http://schemas.openxmlformats.org/markup-compatibility/2006">
      <mc:Choice xmlns:a14="http://schemas.microsoft.com/office/drawing/2010/main" Requires="a14">
        <xdr:sp macro="" textlink="">
          <xdr:nvSpPr>
            <xdr:cNvPr id="51" name="CuadroTexto 18">
              <a:extLst>
                <a:ext uri="{FF2B5EF4-FFF2-40B4-BE49-F238E27FC236}">
                  <a16:creationId xmlns:a16="http://schemas.microsoft.com/office/drawing/2014/main" id="{1D18DA70-729A-984D-A73A-66DDAD737B8F}"/>
                </a:ext>
              </a:extLst>
            </xdr:cNvPr>
            <xdr:cNvSpPr txBox="1"/>
          </xdr:nvSpPr>
          <xdr:spPr>
            <a:xfrm>
              <a:off x="1457325" y="7899400"/>
              <a:ext cx="25840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r>
                      <a:rPr lang="es-AR" sz="1100" b="0" i="1">
                        <a:solidFill>
                          <a:schemeClr val="tx1"/>
                        </a:solidFill>
                        <a:effectLst/>
                        <a:latin typeface="Cambria Math" panose="02040503050406030204" pitchFamily="18" charset="0"/>
                        <a:ea typeface="+mn-ea"/>
                        <a:cs typeface="+mn-cs"/>
                      </a:rPr>
                      <m:t>𝑘</m:t>
                    </m:r>
                    <m:r>
                      <a:rPr lang="es-AR" sz="1100" b="0" i="1">
                        <a:solidFill>
                          <a:schemeClr val="tx1"/>
                        </a:solidFill>
                        <a:effectLst/>
                        <a:latin typeface="Cambria Math" panose="02040503050406030204" pitchFamily="18" charset="0"/>
                        <a:ea typeface="+mn-ea"/>
                        <a:cs typeface="+mn-cs"/>
                      </a:rPr>
                      <m:t>=</m:t>
                    </m:r>
                  </m:oMath>
                </m:oMathPara>
              </a14:m>
              <a:endParaRPr lang="es-AR" sz="1100"/>
            </a:p>
          </xdr:txBody>
        </xdr:sp>
      </mc:Choice>
      <mc:Fallback>
        <xdr:sp macro="" textlink="">
          <xdr:nvSpPr>
            <xdr:cNvPr id="51" name="CuadroTexto 18">
              <a:extLst>
                <a:ext uri="{FF2B5EF4-FFF2-40B4-BE49-F238E27FC236}">
                  <a16:creationId xmlns:a16="http://schemas.microsoft.com/office/drawing/2014/main" id="{1D18DA70-729A-984D-A73A-66DDAD737B8F}"/>
                </a:ext>
              </a:extLst>
            </xdr:cNvPr>
            <xdr:cNvSpPr txBox="1"/>
          </xdr:nvSpPr>
          <xdr:spPr>
            <a:xfrm>
              <a:off x="1457325" y="7899400"/>
              <a:ext cx="258404"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solidFill>
                    <a:schemeClr val="tx1"/>
                  </a:solidFill>
                  <a:effectLst/>
                  <a:latin typeface="Cambria Math" panose="02040503050406030204" pitchFamily="18" charset="0"/>
                  <a:ea typeface="+mn-ea"/>
                  <a:cs typeface="+mn-cs"/>
                </a:rPr>
                <a:t>𝑘=</a:t>
              </a:r>
              <a:endParaRPr lang="es-AR" sz="1100"/>
            </a:p>
          </xdr:txBody>
        </xdr:sp>
      </mc:Fallback>
    </mc:AlternateContent>
    <xdr:clientData/>
  </xdr:oneCellAnchor>
  <xdr:oneCellAnchor>
    <xdr:from>
      <xdr:col>1</xdr:col>
      <xdr:colOff>523875</xdr:colOff>
      <xdr:row>304</xdr:row>
      <xdr:rowOff>28575</xdr:rowOff>
    </xdr:from>
    <xdr:ext cx="2005806" cy="177741"/>
    <mc:AlternateContent xmlns:mc="http://schemas.openxmlformats.org/markup-compatibility/2006">
      <mc:Choice xmlns:a14="http://schemas.microsoft.com/office/drawing/2010/main" Requires="a14">
        <xdr:sp macro="" textlink="">
          <xdr:nvSpPr>
            <xdr:cNvPr id="52" name="CuadroTexto 19">
              <a:extLst>
                <a:ext uri="{FF2B5EF4-FFF2-40B4-BE49-F238E27FC236}">
                  <a16:creationId xmlns:a16="http://schemas.microsoft.com/office/drawing/2014/main" id="{B883E5B3-0BED-7646-B180-3A12E6A9722B}"/>
                </a:ext>
              </a:extLst>
            </xdr:cNvPr>
            <xdr:cNvSpPr txBox="1"/>
          </xdr:nvSpPr>
          <xdr:spPr>
            <a:xfrm>
              <a:off x="1400175" y="8308975"/>
              <a:ext cx="200580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𝐵𝑃𝐴</m:t>
                      </m:r>
                    </m:e>
                    <m:sub>
                      <m:r>
                        <a:rPr lang="es-AR" sz="1100" b="0" i="1">
                          <a:latin typeface="Cambria Math" panose="02040503050406030204" pitchFamily="18" charset="0"/>
                        </a:rPr>
                        <m:t>6</m:t>
                      </m:r>
                    </m:sub>
                  </m:sSub>
                  <m:r>
                    <a:rPr lang="es-AR" sz="1100" b="0" i="1">
                      <a:latin typeface="Cambria Math" panose="02040503050406030204" pitchFamily="18" charset="0"/>
                    </a:rPr>
                    <m:t>=2,7</m:t>
                  </m:r>
                  <m:sSup>
                    <m:sSupPr>
                      <m:ctrlPr>
                        <a:rPr lang="es-AR" sz="1100" b="0" i="1">
                          <a:latin typeface="Cambria Math" panose="02040503050406030204" pitchFamily="18" charset="0"/>
                        </a:rPr>
                      </m:ctrlPr>
                    </m:sSupPr>
                    <m:e>
                      <m:d>
                        <m:dPr>
                          <m:ctrlPr>
                            <a:rPr lang="es-AR" sz="1100" b="0" i="1">
                              <a:latin typeface="Cambria Math" panose="02040503050406030204" pitchFamily="18" charset="0"/>
                            </a:rPr>
                          </m:ctrlPr>
                        </m:dPr>
                        <m:e>
                          <m:r>
                            <a:rPr lang="es-AR" sz="1100" b="0" i="1">
                              <a:latin typeface="Cambria Math" panose="02040503050406030204" pitchFamily="18" charset="0"/>
                            </a:rPr>
                            <m:t>1,1304</m:t>
                          </m:r>
                        </m:e>
                      </m:d>
                    </m:e>
                    <m:sup>
                      <m:r>
                        <a:rPr lang="es-AR" sz="1100" b="0" i="1">
                          <a:latin typeface="Cambria Math" panose="02040503050406030204" pitchFamily="18" charset="0"/>
                        </a:rPr>
                        <m:t>5</m:t>
                      </m:r>
                    </m:sup>
                  </m:sSup>
                  <m:d>
                    <m:dPr>
                      <m:ctrlPr>
                        <a:rPr lang="es-AR" sz="1100" b="0" i="1">
                          <a:latin typeface="Cambria Math" panose="02040503050406030204" pitchFamily="18" charset="0"/>
                        </a:rPr>
                      </m:ctrlPr>
                    </m:dPr>
                    <m:e>
                      <m:r>
                        <a:rPr lang="es-AR" sz="1100" b="0" i="1">
                          <a:latin typeface="Cambria Math" panose="02040503050406030204" pitchFamily="18" charset="0"/>
                        </a:rPr>
                        <m:t>1,06</m:t>
                      </m:r>
                    </m:e>
                  </m:d>
                </m:oMath>
              </a14:m>
              <a:r>
                <a:rPr lang="es-AR" sz="1100"/>
                <a:t>=5,28</a:t>
              </a:r>
            </a:p>
          </xdr:txBody>
        </xdr:sp>
      </mc:Choice>
      <mc:Fallback>
        <xdr:sp macro="" textlink="">
          <xdr:nvSpPr>
            <xdr:cNvPr id="52" name="CuadroTexto 19">
              <a:extLst>
                <a:ext uri="{FF2B5EF4-FFF2-40B4-BE49-F238E27FC236}">
                  <a16:creationId xmlns:a16="http://schemas.microsoft.com/office/drawing/2014/main" id="{B883E5B3-0BED-7646-B180-3A12E6A9722B}"/>
                </a:ext>
              </a:extLst>
            </xdr:cNvPr>
            <xdr:cNvSpPr txBox="1"/>
          </xdr:nvSpPr>
          <xdr:spPr>
            <a:xfrm>
              <a:off x="1400175" y="8308975"/>
              <a:ext cx="2005806" cy="17774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AR" sz="1100" i="0">
                  <a:latin typeface="Cambria Math" panose="02040503050406030204" pitchFamily="18" charset="0"/>
                </a:rPr>
                <a:t>〖</a:t>
              </a:r>
              <a:r>
                <a:rPr lang="es-AR" sz="1100" b="0" i="0">
                  <a:latin typeface="Cambria Math" panose="02040503050406030204" pitchFamily="18" charset="0"/>
                </a:rPr>
                <a:t>𝐵𝑃𝐴〗_6=2,7(1,1304)^5 (1,06)</a:t>
              </a:r>
              <a:r>
                <a:rPr lang="es-AR" sz="1100"/>
                <a:t>=5,28</a:t>
              </a:r>
            </a:p>
          </xdr:txBody>
        </xdr:sp>
      </mc:Fallback>
    </mc:AlternateContent>
    <xdr:clientData/>
  </xdr:oneCellAnchor>
  <xdr:oneCellAnchor>
    <xdr:from>
      <xdr:col>1</xdr:col>
      <xdr:colOff>514350</xdr:colOff>
      <xdr:row>306</xdr:row>
      <xdr:rowOff>9525</xdr:rowOff>
    </xdr:from>
    <xdr:ext cx="1643270" cy="172227"/>
    <mc:AlternateContent xmlns:mc="http://schemas.openxmlformats.org/markup-compatibility/2006">
      <mc:Choice xmlns:a14="http://schemas.microsoft.com/office/drawing/2010/main" Requires="a14">
        <xdr:sp macro="" textlink="">
          <xdr:nvSpPr>
            <xdr:cNvPr id="53" name="CuadroTexto 20">
              <a:extLst>
                <a:ext uri="{FF2B5EF4-FFF2-40B4-BE49-F238E27FC236}">
                  <a16:creationId xmlns:a16="http://schemas.microsoft.com/office/drawing/2014/main" id="{A57BCD90-E3D0-0F4D-B990-1B04AD9154D9}"/>
                </a:ext>
              </a:extLst>
            </xdr:cNvPr>
            <xdr:cNvSpPr txBox="1"/>
          </xdr:nvSpPr>
          <xdr:spPr>
            <a:xfrm>
              <a:off x="1390650" y="8670925"/>
              <a:ext cx="16432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14:m>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𝐷𝑃𝐴</m:t>
                      </m:r>
                    </m:e>
                    <m:sub>
                      <m:r>
                        <a:rPr lang="es-AR" sz="1100" b="0" i="1">
                          <a:latin typeface="Cambria Math" panose="02040503050406030204" pitchFamily="18" charset="0"/>
                        </a:rPr>
                        <m:t>6</m:t>
                      </m:r>
                    </m:sub>
                  </m:sSub>
                  <m:r>
                    <a:rPr lang="es-AR" sz="1100" b="0" i="1">
                      <a:latin typeface="Cambria Math" panose="02040503050406030204" pitchFamily="18" charset="0"/>
                    </a:rPr>
                    <m:t>=5,28</m:t>
                  </m:r>
                  <m:d>
                    <m:dPr>
                      <m:ctrlPr>
                        <a:rPr lang="es-AR" sz="1100" b="0" i="1">
                          <a:latin typeface="Cambria Math" panose="02040503050406030204" pitchFamily="18" charset="0"/>
                        </a:rPr>
                      </m:ctrlPr>
                    </m:dPr>
                    <m:e>
                      <m:r>
                        <a:rPr lang="es-AR" sz="1100" b="0" i="1">
                          <a:latin typeface="Cambria Math" panose="02040503050406030204" pitchFamily="18" charset="0"/>
                        </a:rPr>
                        <m:t>0,6933</m:t>
                      </m:r>
                    </m:e>
                  </m:d>
                </m:oMath>
              </a14:m>
              <a:r>
                <a:rPr lang="es-AR" sz="1100"/>
                <a:t>=3,66</a:t>
              </a:r>
            </a:p>
          </xdr:txBody>
        </xdr:sp>
      </mc:Choice>
      <mc:Fallback>
        <xdr:sp macro="" textlink="">
          <xdr:nvSpPr>
            <xdr:cNvPr id="53" name="CuadroTexto 20">
              <a:extLst>
                <a:ext uri="{FF2B5EF4-FFF2-40B4-BE49-F238E27FC236}">
                  <a16:creationId xmlns:a16="http://schemas.microsoft.com/office/drawing/2014/main" id="{A57BCD90-E3D0-0F4D-B990-1B04AD9154D9}"/>
                </a:ext>
              </a:extLst>
            </xdr:cNvPr>
            <xdr:cNvSpPr txBox="1"/>
          </xdr:nvSpPr>
          <xdr:spPr>
            <a:xfrm>
              <a:off x="1390650" y="8670925"/>
              <a:ext cx="1643270" cy="17222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r>
                <a:rPr lang="es-AR" sz="1100" i="0">
                  <a:latin typeface="Cambria Math" panose="02040503050406030204" pitchFamily="18" charset="0"/>
                </a:rPr>
                <a:t>〖</a:t>
              </a:r>
              <a:r>
                <a:rPr lang="es-AR" sz="1100" b="0" i="0">
                  <a:latin typeface="Cambria Math" panose="02040503050406030204" pitchFamily="18" charset="0"/>
                </a:rPr>
                <a:t>𝐷𝑃𝐴〗_6=5,28(0,6933)</a:t>
              </a:r>
              <a:r>
                <a:rPr lang="es-AR" sz="1100"/>
                <a:t>=3,66</a:t>
              </a:r>
            </a:p>
          </xdr:txBody>
        </xdr:sp>
      </mc:Fallback>
    </mc:AlternateContent>
    <xdr:clientData/>
  </xdr:oneCellAnchor>
  <xdr:twoCellAnchor>
    <xdr:from>
      <xdr:col>4</xdr:col>
      <xdr:colOff>123825</xdr:colOff>
      <xdr:row>308</xdr:row>
      <xdr:rowOff>123825</xdr:rowOff>
    </xdr:from>
    <xdr:to>
      <xdr:col>4</xdr:col>
      <xdr:colOff>542925</xdr:colOff>
      <xdr:row>310</xdr:row>
      <xdr:rowOff>28575</xdr:rowOff>
    </xdr:to>
    <xdr:sp macro="" textlink="">
      <xdr:nvSpPr>
        <xdr:cNvPr id="54" name="Flecha derecha 22">
          <a:extLst>
            <a:ext uri="{FF2B5EF4-FFF2-40B4-BE49-F238E27FC236}">
              <a16:creationId xmlns:a16="http://schemas.microsoft.com/office/drawing/2014/main" id="{F5969921-0BB4-A147-860D-82627821A0BB}"/>
            </a:ext>
          </a:extLst>
        </xdr:cNvPr>
        <xdr:cNvSpPr/>
      </xdr:nvSpPr>
      <xdr:spPr>
        <a:xfrm>
          <a:off x="3756025" y="9166225"/>
          <a:ext cx="419100" cy="285750"/>
        </a:xfrm>
        <a:prstGeom prst="rightArrow">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lang="es-AR" sz="1100"/>
        </a:p>
      </xdr:txBody>
    </xdr:sp>
    <xdr:clientData/>
  </xdr:twoCellAnchor>
  <xdr:oneCellAnchor>
    <xdr:from>
      <xdr:col>1</xdr:col>
      <xdr:colOff>0</xdr:colOff>
      <xdr:row>317</xdr:row>
      <xdr:rowOff>0</xdr:rowOff>
    </xdr:from>
    <xdr:ext cx="3392531" cy="503086"/>
    <mc:AlternateContent xmlns:mc="http://schemas.openxmlformats.org/markup-compatibility/2006">
      <mc:Choice xmlns:a14="http://schemas.microsoft.com/office/drawing/2010/main" Requires="a14">
        <xdr:sp macro="" textlink="">
          <xdr:nvSpPr>
            <xdr:cNvPr id="55" name="CuadroTexto 31">
              <a:extLst>
                <a:ext uri="{FF2B5EF4-FFF2-40B4-BE49-F238E27FC236}">
                  <a16:creationId xmlns:a16="http://schemas.microsoft.com/office/drawing/2014/main" id="{D53A48FD-0F5D-514E-8690-40398300F787}"/>
                </a:ext>
              </a:extLst>
            </xdr:cNvPr>
            <xdr:cNvSpPr txBox="1"/>
          </xdr:nvSpPr>
          <xdr:spPr>
            <a:xfrm>
              <a:off x="876300" y="10769600"/>
              <a:ext cx="3392531" cy="50308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14:m>
                <m:oMathPara xmlns:m="http://schemas.openxmlformats.org/officeDocument/2006/math">
                  <m:oMathParaPr>
                    <m:jc m:val="centerGroup"/>
                  </m:oMathParaPr>
                  <m:oMath xmlns:m="http://schemas.openxmlformats.org/officeDocument/2006/math">
                    <m:sSub>
                      <m:sSubPr>
                        <m:ctrlPr>
                          <a:rPr lang="es-AR" sz="1100" i="1">
                            <a:latin typeface="Cambria Math" panose="02040503050406030204" pitchFamily="18" charset="0"/>
                          </a:rPr>
                        </m:ctrlPr>
                      </m:sSubPr>
                      <m:e>
                        <m:r>
                          <a:rPr lang="es-AR" sz="1100" b="0" i="1">
                            <a:latin typeface="Cambria Math" panose="02040503050406030204" pitchFamily="18" charset="0"/>
                          </a:rPr>
                          <m:t>𝑃</m:t>
                        </m:r>
                      </m:e>
                      <m:sub>
                        <m:r>
                          <a:rPr lang="es-AR" sz="1100" b="0" i="1">
                            <a:latin typeface="Cambria Math" panose="02040503050406030204" pitchFamily="18" charset="0"/>
                          </a:rPr>
                          <m:t>0</m:t>
                        </m:r>
                      </m:sub>
                    </m:sSub>
                    <m:r>
                      <a:rPr lang="es-AR" sz="1100" b="0" i="1">
                        <a:latin typeface="Cambria Math" panose="02040503050406030204" pitchFamily="18" charset="0"/>
                      </a:rPr>
                      <m:t>=</m:t>
                    </m:r>
                    <m:f>
                      <m:fPr>
                        <m:ctrlPr>
                          <a:rPr lang="es-AR" sz="1100" b="0" i="1">
                            <a:latin typeface="Cambria Math" panose="02040503050406030204" pitchFamily="18" charset="0"/>
                          </a:rPr>
                        </m:ctrlPr>
                      </m:fPr>
                      <m:num>
                        <m:sSub>
                          <m:sSubPr>
                            <m:ctrlPr>
                              <a:rPr lang="es-AR" sz="1100" b="0" i="1">
                                <a:latin typeface="Cambria Math" panose="02040503050406030204" pitchFamily="18" charset="0"/>
                              </a:rPr>
                            </m:ctrlPr>
                          </m:sSubPr>
                          <m:e>
                            <m:r>
                              <a:rPr lang="es-AR" sz="1100" b="0" i="1">
                                <a:latin typeface="Cambria Math" panose="02040503050406030204" pitchFamily="18" charset="0"/>
                              </a:rPr>
                              <m:t>𝐷𝑃𝐴</m:t>
                            </m:r>
                          </m:e>
                          <m:sub>
                            <m:r>
                              <a:rPr lang="es-AR" sz="1100" b="0" i="1">
                                <a:latin typeface="Cambria Math" panose="02040503050406030204" pitchFamily="18" charset="0"/>
                              </a:rPr>
                              <m:t>0</m:t>
                            </m:r>
                          </m:sub>
                        </m:sSub>
                        <m:d>
                          <m:dPr>
                            <m:ctrlPr>
                              <a:rPr lang="es-AR" sz="1100" b="0" i="1">
                                <a:latin typeface="Cambria Math" panose="02040503050406030204" pitchFamily="18" charset="0"/>
                              </a:rPr>
                            </m:ctrlPr>
                          </m:dPr>
                          <m:e>
                            <m:r>
                              <a:rPr lang="es-AR" sz="1100" b="0" i="1">
                                <a:latin typeface="Cambria Math" panose="02040503050406030204" pitchFamily="18" charset="0"/>
                              </a:rPr>
                              <m:t>1+</m:t>
                            </m:r>
                            <m:sSub>
                              <m:sSubPr>
                                <m:ctrlPr>
                                  <a:rPr lang="es-AR" sz="1100" b="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1</m:t>
                                </m:r>
                              </m:sub>
                            </m:sSub>
                          </m:e>
                        </m:d>
                        <m:d>
                          <m:dPr>
                            <m:ctrlPr>
                              <a:rPr lang="es-AR" sz="1100" b="0" i="1">
                                <a:latin typeface="Cambria Math" panose="02040503050406030204" pitchFamily="18" charset="0"/>
                              </a:rPr>
                            </m:ctrlPr>
                          </m:dPr>
                          <m:e>
                            <m:r>
                              <a:rPr lang="es-AR" sz="1100" b="0" i="1">
                                <a:latin typeface="Cambria Math" panose="02040503050406030204" pitchFamily="18" charset="0"/>
                              </a:rPr>
                              <m:t>1−</m:t>
                            </m:r>
                            <m:f>
                              <m:fPr>
                                <m:ctrlPr>
                                  <a:rPr lang="es-AR" sz="1100" b="0" i="1">
                                    <a:latin typeface="Cambria Math" panose="02040503050406030204" pitchFamily="18" charset="0"/>
                                  </a:rPr>
                                </m:ctrlPr>
                              </m:fPr>
                              <m:num>
                                <m:sSup>
                                  <m:sSupPr>
                                    <m:ctrlPr>
                                      <a:rPr lang="es-AR" sz="1100" b="0" i="1">
                                        <a:latin typeface="Cambria Math" panose="02040503050406030204" pitchFamily="18" charset="0"/>
                                      </a:rPr>
                                    </m:ctrlPr>
                                  </m:sSupPr>
                                  <m:e>
                                    <m:d>
                                      <m:dPr>
                                        <m:ctrlPr>
                                          <a:rPr lang="es-AR" sz="1100" b="0" i="1">
                                            <a:latin typeface="Cambria Math" panose="02040503050406030204" pitchFamily="18" charset="0"/>
                                          </a:rPr>
                                        </m:ctrlPr>
                                      </m:dPr>
                                      <m:e>
                                        <m:r>
                                          <a:rPr lang="es-AR" sz="1100" b="0" i="1">
                                            <a:latin typeface="Cambria Math" panose="02040503050406030204" pitchFamily="18" charset="0"/>
                                          </a:rPr>
                                          <m:t>1+</m:t>
                                        </m:r>
                                        <m:sSub>
                                          <m:sSubPr>
                                            <m:ctrlPr>
                                              <a:rPr lang="es-AR" sz="1100" b="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1</m:t>
                                            </m:r>
                                          </m:sub>
                                        </m:sSub>
                                      </m:e>
                                    </m:d>
                                  </m:e>
                                  <m:sup>
                                    <m:r>
                                      <a:rPr lang="es-AR" sz="1100" b="0" i="1">
                                        <a:latin typeface="Cambria Math" panose="02040503050406030204" pitchFamily="18" charset="0"/>
                                      </a:rPr>
                                      <m:t>𝑛</m:t>
                                    </m:r>
                                  </m:sup>
                                </m:sSup>
                              </m:num>
                              <m:den>
                                <m:sSup>
                                  <m:sSupPr>
                                    <m:ctrlPr>
                                      <a:rPr lang="es-AR" sz="1100" b="0" i="1">
                                        <a:latin typeface="Cambria Math" panose="02040503050406030204" pitchFamily="18" charset="0"/>
                                      </a:rPr>
                                    </m:ctrlPr>
                                  </m:sSupPr>
                                  <m:e>
                                    <m:d>
                                      <m:dPr>
                                        <m:ctrlPr>
                                          <a:rPr lang="es-AR" sz="1100" b="0" i="1">
                                            <a:latin typeface="Cambria Math" panose="02040503050406030204" pitchFamily="18" charset="0"/>
                                          </a:rPr>
                                        </m:ctrlPr>
                                      </m:dPr>
                                      <m:e>
                                        <m:r>
                                          <a:rPr lang="es-AR" sz="1100" b="0" i="1">
                                            <a:latin typeface="Cambria Math" panose="02040503050406030204" pitchFamily="18" charset="0"/>
                                          </a:rPr>
                                          <m:t>1+</m:t>
                                        </m:r>
                                        <m:r>
                                          <a:rPr lang="es-AR" sz="1100" b="0" i="1">
                                            <a:latin typeface="Cambria Math" panose="02040503050406030204" pitchFamily="18" charset="0"/>
                                          </a:rPr>
                                          <m:t>𝑘</m:t>
                                        </m:r>
                                      </m:e>
                                    </m:d>
                                  </m:e>
                                  <m:sup>
                                    <m:r>
                                      <a:rPr lang="es-AR" sz="1100" b="0" i="1">
                                        <a:latin typeface="Cambria Math" panose="02040503050406030204" pitchFamily="18" charset="0"/>
                                      </a:rPr>
                                      <m:t>𝑛</m:t>
                                    </m:r>
                                  </m:sup>
                                </m:sSup>
                              </m:den>
                            </m:f>
                          </m:e>
                        </m:d>
                      </m:num>
                      <m:den>
                        <m:r>
                          <a:rPr lang="es-AR" sz="1100" b="0" i="1">
                            <a:latin typeface="Cambria Math" panose="02040503050406030204" pitchFamily="18" charset="0"/>
                          </a:rPr>
                          <m:t>𝑘</m:t>
                        </m:r>
                        <m:r>
                          <a:rPr lang="es-AR" sz="1100" b="0" i="1">
                            <a:latin typeface="Cambria Math" panose="02040503050406030204" pitchFamily="18" charset="0"/>
                          </a:rPr>
                          <m:t>−</m:t>
                        </m:r>
                        <m:sSub>
                          <m:sSubPr>
                            <m:ctrlPr>
                              <a:rPr lang="es-AR" sz="1100" b="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1</m:t>
                            </m:r>
                          </m:sub>
                        </m:sSub>
                      </m:den>
                    </m:f>
                    <m:r>
                      <a:rPr lang="es-AR" sz="1100" b="0" i="1">
                        <a:latin typeface="Cambria Math" panose="02040503050406030204" pitchFamily="18" charset="0"/>
                      </a:rPr>
                      <m:t>+</m:t>
                    </m:r>
                    <m:f>
                      <m:fPr>
                        <m:ctrlPr>
                          <a:rPr lang="es-AR" sz="1100" b="0" i="1">
                            <a:latin typeface="Cambria Math" panose="02040503050406030204" pitchFamily="18" charset="0"/>
                          </a:rPr>
                        </m:ctrlPr>
                      </m:fPr>
                      <m:num>
                        <m:sSub>
                          <m:sSubPr>
                            <m:ctrlPr>
                              <a:rPr lang="es-AR" sz="1100" b="0" i="1">
                                <a:latin typeface="Cambria Math" panose="02040503050406030204" pitchFamily="18" charset="0"/>
                              </a:rPr>
                            </m:ctrlPr>
                          </m:sSubPr>
                          <m:e>
                            <m:r>
                              <a:rPr lang="es-AR" sz="1100" b="0" i="1">
                                <a:latin typeface="Cambria Math" panose="02040503050406030204" pitchFamily="18" charset="0"/>
                              </a:rPr>
                              <m:t>𝐷𝑃𝐴</m:t>
                            </m:r>
                          </m:e>
                          <m:sub>
                            <m:r>
                              <a:rPr lang="es-AR" sz="1100" b="0" i="1">
                                <a:latin typeface="Cambria Math" panose="02040503050406030204" pitchFamily="18" charset="0"/>
                              </a:rPr>
                              <m:t>𝑛</m:t>
                            </m:r>
                            <m:r>
                              <a:rPr lang="es-AR" sz="1100" b="0" i="1">
                                <a:latin typeface="Cambria Math" panose="02040503050406030204" pitchFamily="18" charset="0"/>
                              </a:rPr>
                              <m:t>+1</m:t>
                            </m:r>
                          </m:sub>
                        </m:sSub>
                      </m:num>
                      <m:den>
                        <m:d>
                          <m:dPr>
                            <m:ctrlPr>
                              <a:rPr lang="es-AR" sz="1100" b="0" i="1">
                                <a:latin typeface="Cambria Math" panose="02040503050406030204" pitchFamily="18" charset="0"/>
                              </a:rPr>
                            </m:ctrlPr>
                          </m:dPr>
                          <m:e>
                            <m:r>
                              <a:rPr lang="es-AR" sz="1100" b="0" i="1">
                                <a:latin typeface="Cambria Math" panose="02040503050406030204" pitchFamily="18" charset="0"/>
                              </a:rPr>
                              <m:t>𝑘</m:t>
                            </m:r>
                            <m:r>
                              <a:rPr lang="es-AR" sz="1100" b="0" i="1">
                                <a:latin typeface="Cambria Math" panose="02040503050406030204" pitchFamily="18" charset="0"/>
                              </a:rPr>
                              <m:t>−</m:t>
                            </m:r>
                            <m:sSub>
                              <m:sSubPr>
                                <m:ctrlPr>
                                  <a:rPr lang="es-AR" sz="1100" b="0" i="1">
                                    <a:latin typeface="Cambria Math" panose="02040503050406030204" pitchFamily="18" charset="0"/>
                                  </a:rPr>
                                </m:ctrlPr>
                              </m:sSubPr>
                              <m:e>
                                <m:r>
                                  <a:rPr lang="es-AR" sz="1100" b="0" i="1">
                                    <a:latin typeface="Cambria Math" panose="02040503050406030204" pitchFamily="18" charset="0"/>
                                  </a:rPr>
                                  <m:t>𝑔</m:t>
                                </m:r>
                              </m:e>
                              <m:sub>
                                <m:r>
                                  <a:rPr lang="es-AR" sz="1100" b="0" i="1">
                                    <a:latin typeface="Cambria Math" panose="02040503050406030204" pitchFamily="18" charset="0"/>
                                  </a:rPr>
                                  <m:t>2</m:t>
                                </m:r>
                              </m:sub>
                            </m:sSub>
                          </m:e>
                        </m:d>
                        <m:sSup>
                          <m:sSupPr>
                            <m:ctrlPr>
                              <a:rPr lang="es-AR" sz="1100" b="0" i="1">
                                <a:latin typeface="Cambria Math" panose="02040503050406030204" pitchFamily="18" charset="0"/>
                              </a:rPr>
                            </m:ctrlPr>
                          </m:sSupPr>
                          <m:e>
                            <m:d>
                              <m:dPr>
                                <m:ctrlPr>
                                  <a:rPr lang="es-AR" sz="1100" b="0" i="1">
                                    <a:latin typeface="Cambria Math" panose="02040503050406030204" pitchFamily="18" charset="0"/>
                                  </a:rPr>
                                </m:ctrlPr>
                              </m:dPr>
                              <m:e>
                                <m:r>
                                  <a:rPr lang="es-AR" sz="1100" b="0" i="1">
                                    <a:latin typeface="Cambria Math" panose="02040503050406030204" pitchFamily="18" charset="0"/>
                                  </a:rPr>
                                  <m:t>1+</m:t>
                                </m:r>
                                <m:r>
                                  <a:rPr lang="es-AR" sz="1100" b="0" i="1">
                                    <a:latin typeface="Cambria Math" panose="02040503050406030204" pitchFamily="18" charset="0"/>
                                  </a:rPr>
                                  <m:t>𝑘</m:t>
                                </m:r>
                              </m:e>
                            </m:d>
                          </m:e>
                          <m:sup>
                            <m:r>
                              <a:rPr lang="es-AR" sz="1100" b="0" i="1">
                                <a:latin typeface="Cambria Math" panose="02040503050406030204" pitchFamily="18" charset="0"/>
                              </a:rPr>
                              <m:t>𝑛</m:t>
                            </m:r>
                          </m:sup>
                        </m:sSup>
                      </m:den>
                    </m:f>
                  </m:oMath>
                </m:oMathPara>
              </a14:m>
              <a:endParaRPr lang="es-AR" sz="1100"/>
            </a:p>
          </xdr:txBody>
        </xdr:sp>
      </mc:Choice>
      <mc:Fallback>
        <xdr:sp macro="" textlink="">
          <xdr:nvSpPr>
            <xdr:cNvPr id="55" name="CuadroTexto 31">
              <a:extLst>
                <a:ext uri="{FF2B5EF4-FFF2-40B4-BE49-F238E27FC236}">
                  <a16:creationId xmlns:a16="http://schemas.microsoft.com/office/drawing/2014/main" id="{D53A48FD-0F5D-514E-8690-40398300F787}"/>
                </a:ext>
              </a:extLst>
            </xdr:cNvPr>
            <xdr:cNvSpPr txBox="1"/>
          </xdr:nvSpPr>
          <xdr:spPr>
            <a:xfrm>
              <a:off x="876300" y="10769600"/>
              <a:ext cx="3392531" cy="503086"/>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lIns="0" tIns="0" rIns="0" bIns="0" rtlCol="0" anchor="t">
              <a:spAutoFit/>
            </a:bodyPr>
            <a:lstStyle/>
            <a:p>
              <a:pPr/>
              <a:r>
                <a:rPr lang="es-AR" sz="1100" b="0" i="0">
                  <a:latin typeface="Cambria Math" panose="02040503050406030204" pitchFamily="18" charset="0"/>
                </a:rPr>
                <a:t>𝑃_0=(〖𝐷𝑃𝐴〗_0 (1+𝑔_1 )(1−(1+𝑔_1 )^𝑛/(1+𝑘)^𝑛 ))/(𝑘−𝑔_1 )+〖𝐷𝑃𝐴〗_(𝑛+1)/((𝑘−𝑔_2 ) (1+𝑘)^𝑛 )</a:t>
              </a:r>
              <a:endParaRPr lang="es-AR" sz="1100"/>
            </a:p>
          </xdr:txBody>
        </xdr:sp>
      </mc:Fallback>
    </mc:AlternateContent>
    <xdr:clientData/>
  </xdr:oneCellAnchor>
  <xdr:twoCellAnchor editAs="oneCell">
    <xdr:from>
      <xdr:col>0</xdr:col>
      <xdr:colOff>0</xdr:colOff>
      <xdr:row>331</xdr:row>
      <xdr:rowOff>0</xdr:rowOff>
    </xdr:from>
    <xdr:to>
      <xdr:col>6</xdr:col>
      <xdr:colOff>647700</xdr:colOff>
      <xdr:row>353</xdr:row>
      <xdr:rowOff>91076</xdr:rowOff>
    </xdr:to>
    <xdr:pic>
      <xdr:nvPicPr>
        <xdr:cNvPr id="56" name="Picture 55">
          <a:extLst>
            <a:ext uri="{FF2B5EF4-FFF2-40B4-BE49-F238E27FC236}">
              <a16:creationId xmlns:a16="http://schemas.microsoft.com/office/drawing/2014/main" id="{AE7CE44D-7A1B-8922-3B15-45CECA8B672A}"/>
            </a:ext>
          </a:extLst>
        </xdr:cNvPr>
        <xdr:cNvPicPr>
          <a:picLocks noChangeAspect="1"/>
        </xdr:cNvPicPr>
      </xdr:nvPicPr>
      <xdr:blipFill>
        <a:blip xmlns:r="http://schemas.openxmlformats.org/officeDocument/2006/relationships" r:embed="rId10"/>
        <a:stretch>
          <a:fillRect/>
        </a:stretch>
      </xdr:blipFill>
      <xdr:spPr>
        <a:xfrm>
          <a:off x="0" y="68795900"/>
          <a:ext cx="6324600" cy="4561476"/>
        </a:xfrm>
        <a:prstGeom prst="rect">
          <a:avLst/>
        </a:prstGeom>
        <a:solidFill>
          <a:schemeClr val="accent6">
            <a:lumMod val="40000"/>
            <a:lumOff val="60000"/>
          </a:schemeClr>
        </a:solidFill>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1</xdr:row>
      <xdr:rowOff>0</xdr:rowOff>
    </xdr:from>
    <xdr:to>
      <xdr:col>4</xdr:col>
      <xdr:colOff>375733</xdr:colOff>
      <xdr:row>19</xdr:row>
      <xdr:rowOff>137540</xdr:rowOff>
    </xdr:to>
    <xdr:pic>
      <xdr:nvPicPr>
        <xdr:cNvPr id="2" name="Picture 1">
          <a:extLst>
            <a:ext uri="{FF2B5EF4-FFF2-40B4-BE49-F238E27FC236}">
              <a16:creationId xmlns:a16="http://schemas.microsoft.com/office/drawing/2014/main" id="{54424530-C378-DA77-38FE-170E7ABFAD75}"/>
            </a:ext>
          </a:extLst>
        </xdr:cNvPr>
        <xdr:cNvPicPr>
          <a:picLocks noChangeAspect="1"/>
        </xdr:cNvPicPr>
      </xdr:nvPicPr>
      <xdr:blipFill>
        <a:blip xmlns:r="http://schemas.openxmlformats.org/officeDocument/2006/relationships" r:embed="rId1"/>
        <a:stretch>
          <a:fillRect/>
        </a:stretch>
      </xdr:blipFill>
      <xdr:spPr>
        <a:xfrm>
          <a:off x="0" y="330200"/>
          <a:ext cx="5469467" cy="3795140"/>
        </a:xfrm>
        <a:prstGeom prst="rect">
          <a:avLst/>
        </a:prstGeom>
      </xdr:spPr>
    </xdr:pic>
    <xdr:clientData/>
  </xdr:twoCellAnchor>
  <xdr:twoCellAnchor editAs="oneCell">
    <xdr:from>
      <xdr:col>0</xdr:col>
      <xdr:colOff>76200</xdr:colOff>
      <xdr:row>80</xdr:row>
      <xdr:rowOff>83593</xdr:rowOff>
    </xdr:from>
    <xdr:to>
      <xdr:col>4</xdr:col>
      <xdr:colOff>850900</xdr:colOff>
      <xdr:row>107</xdr:row>
      <xdr:rowOff>38100</xdr:rowOff>
    </xdr:to>
    <xdr:pic>
      <xdr:nvPicPr>
        <xdr:cNvPr id="3" name="Picture 2">
          <a:extLst>
            <a:ext uri="{FF2B5EF4-FFF2-40B4-BE49-F238E27FC236}">
              <a16:creationId xmlns:a16="http://schemas.microsoft.com/office/drawing/2014/main" id="{2221C018-FA04-BE62-F67D-24120AC6AB6E}"/>
            </a:ext>
          </a:extLst>
        </xdr:cNvPr>
        <xdr:cNvPicPr>
          <a:picLocks noChangeAspect="1"/>
        </xdr:cNvPicPr>
      </xdr:nvPicPr>
      <xdr:blipFill>
        <a:blip xmlns:r="http://schemas.openxmlformats.org/officeDocument/2006/relationships" r:embed="rId2"/>
        <a:stretch>
          <a:fillRect/>
        </a:stretch>
      </xdr:blipFill>
      <xdr:spPr>
        <a:xfrm>
          <a:off x="76200" y="17952493"/>
          <a:ext cx="5842000" cy="5440907"/>
        </a:xfrm>
        <a:prstGeom prst="rect">
          <a:avLst/>
        </a:prstGeom>
      </xdr:spPr>
    </xdr:pic>
    <xdr:clientData/>
  </xdr:twoCellAnchor>
  <xdr:twoCellAnchor editAs="oneCell">
    <xdr:from>
      <xdr:col>0</xdr:col>
      <xdr:colOff>0</xdr:colOff>
      <xdr:row>108</xdr:row>
      <xdr:rowOff>0</xdr:rowOff>
    </xdr:from>
    <xdr:to>
      <xdr:col>4</xdr:col>
      <xdr:colOff>648158</xdr:colOff>
      <xdr:row>129</xdr:row>
      <xdr:rowOff>71120</xdr:rowOff>
    </xdr:to>
    <xdr:pic>
      <xdr:nvPicPr>
        <xdr:cNvPr id="4" name="Picture 3">
          <a:extLst>
            <a:ext uri="{FF2B5EF4-FFF2-40B4-BE49-F238E27FC236}">
              <a16:creationId xmlns:a16="http://schemas.microsoft.com/office/drawing/2014/main" id="{042F7E54-BBCB-F1F5-DD90-A9EC5276D545}"/>
            </a:ext>
          </a:extLst>
        </xdr:cNvPr>
        <xdr:cNvPicPr>
          <a:picLocks noChangeAspect="1"/>
        </xdr:cNvPicPr>
      </xdr:nvPicPr>
      <xdr:blipFill>
        <a:blip xmlns:r="http://schemas.openxmlformats.org/officeDocument/2006/relationships" r:embed="rId3"/>
        <a:stretch>
          <a:fillRect/>
        </a:stretch>
      </xdr:blipFill>
      <xdr:spPr>
        <a:xfrm>
          <a:off x="0" y="23561040"/>
          <a:ext cx="5717998" cy="4338320"/>
        </a:xfrm>
        <a:prstGeom prst="rect">
          <a:avLst/>
        </a:prstGeom>
      </xdr:spPr>
    </xdr:pic>
    <xdr:clientData/>
  </xdr:twoCellAnchor>
  <xdr:twoCellAnchor editAs="oneCell">
    <xdr:from>
      <xdr:col>5</xdr:col>
      <xdr:colOff>0</xdr:colOff>
      <xdr:row>92</xdr:row>
      <xdr:rowOff>0</xdr:rowOff>
    </xdr:from>
    <xdr:to>
      <xdr:col>11</xdr:col>
      <xdr:colOff>63500</xdr:colOff>
      <xdr:row>93</xdr:row>
      <xdr:rowOff>50800</xdr:rowOff>
    </xdr:to>
    <xdr:pic>
      <xdr:nvPicPr>
        <xdr:cNvPr id="5" name="Picture 4">
          <a:extLst>
            <a:ext uri="{FF2B5EF4-FFF2-40B4-BE49-F238E27FC236}">
              <a16:creationId xmlns:a16="http://schemas.microsoft.com/office/drawing/2014/main" id="{EF2DFE9A-C1FF-5EAA-FA98-BBFBDA2527A7}"/>
            </a:ext>
          </a:extLst>
        </xdr:cNvPr>
        <xdr:cNvPicPr>
          <a:picLocks noChangeAspect="1" noChangeArrowheads="1"/>
        </xdr:cNvPicPr>
      </xdr:nvPicPr>
      <xdr:blipFill>
        <a:blip xmlns:r="http://schemas.openxmlformats.org/officeDocument/2006/relationships" r:embed="rId4">
          <a:extLst>
            <a:ext uri="{28A0092B-C50C-407E-A947-70E740481C1C}">
              <a14:useLocalDpi xmlns:a14="http://schemas.microsoft.com/office/drawing/2010/main" val="0"/>
            </a:ext>
          </a:extLst>
        </a:blip>
        <a:srcRect/>
        <a:stretch>
          <a:fillRect/>
        </a:stretch>
      </xdr:blipFill>
      <xdr:spPr bwMode="auto">
        <a:xfrm>
          <a:off x="6502400" y="20307300"/>
          <a:ext cx="53721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100</xdr:row>
      <xdr:rowOff>0</xdr:rowOff>
    </xdr:from>
    <xdr:to>
      <xdr:col>11</xdr:col>
      <xdr:colOff>482600</xdr:colOff>
      <xdr:row>101</xdr:row>
      <xdr:rowOff>50800</xdr:rowOff>
    </xdr:to>
    <xdr:pic>
      <xdr:nvPicPr>
        <xdr:cNvPr id="6" name="Picture 5">
          <a:extLst>
            <a:ext uri="{FF2B5EF4-FFF2-40B4-BE49-F238E27FC236}">
              <a16:creationId xmlns:a16="http://schemas.microsoft.com/office/drawing/2014/main" id="{52966D29-42A1-AD87-DC62-6B5C3361ED6D}"/>
            </a:ext>
          </a:extLst>
        </xdr:cNvPr>
        <xdr:cNvPicPr>
          <a:picLocks noChangeAspect="1" noChangeArrowheads="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6502400" y="21932900"/>
          <a:ext cx="57912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108</xdr:row>
      <xdr:rowOff>0</xdr:rowOff>
    </xdr:from>
    <xdr:to>
      <xdr:col>10</xdr:col>
      <xdr:colOff>342900</xdr:colOff>
      <xdr:row>109</xdr:row>
      <xdr:rowOff>50800</xdr:rowOff>
    </xdr:to>
    <xdr:pic>
      <xdr:nvPicPr>
        <xdr:cNvPr id="7" name="Picture 6">
          <a:extLst>
            <a:ext uri="{FF2B5EF4-FFF2-40B4-BE49-F238E27FC236}">
              <a16:creationId xmlns:a16="http://schemas.microsoft.com/office/drawing/2014/main" id="{7E6ED722-C3FC-0EDD-885F-11B8DF1C5BB7}"/>
            </a:ext>
          </a:extLst>
        </xdr:cNvPr>
        <xdr:cNvPicPr>
          <a:picLocks noChangeAspect="1" noChangeArrowheads="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6502400" y="23558500"/>
          <a:ext cx="48260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25400</xdr:colOff>
      <xdr:row>115</xdr:row>
      <xdr:rowOff>139700</xdr:rowOff>
    </xdr:from>
    <xdr:to>
      <xdr:col>11</xdr:col>
      <xdr:colOff>241300</xdr:colOff>
      <xdr:row>116</xdr:row>
      <xdr:rowOff>190500</xdr:rowOff>
    </xdr:to>
    <xdr:pic>
      <xdr:nvPicPr>
        <xdr:cNvPr id="11" name="Picture 10">
          <a:extLst>
            <a:ext uri="{FF2B5EF4-FFF2-40B4-BE49-F238E27FC236}">
              <a16:creationId xmlns:a16="http://schemas.microsoft.com/office/drawing/2014/main" id="{8B8F4301-AB03-07AA-B665-207DF8A96BB9}"/>
            </a:ext>
          </a:extLst>
        </xdr:cNvPr>
        <xdr:cNvPicPr>
          <a:picLocks noChangeAspect="1" noChangeArrowheads="1"/>
        </xdr:cNvPicPr>
      </xdr:nvPicPr>
      <xdr:blipFill>
        <a:blip xmlns:r="http://schemas.openxmlformats.org/officeDocument/2006/relationships" r:embed="rId7">
          <a:extLst>
            <a:ext uri="{28A0092B-C50C-407E-A947-70E740481C1C}">
              <a14:useLocalDpi xmlns:a14="http://schemas.microsoft.com/office/drawing/2010/main" val="0"/>
            </a:ext>
          </a:extLst>
        </a:blip>
        <a:srcRect/>
        <a:stretch>
          <a:fillRect/>
        </a:stretch>
      </xdr:blipFill>
      <xdr:spPr bwMode="auto">
        <a:xfrm>
          <a:off x="6527800" y="25120600"/>
          <a:ext cx="55245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1409700</xdr:colOff>
      <xdr:row>118</xdr:row>
      <xdr:rowOff>165100</xdr:rowOff>
    </xdr:from>
    <xdr:to>
      <xdr:col>13</xdr:col>
      <xdr:colOff>279400</xdr:colOff>
      <xdr:row>120</xdr:row>
      <xdr:rowOff>12700</xdr:rowOff>
    </xdr:to>
    <xdr:pic>
      <xdr:nvPicPr>
        <xdr:cNvPr id="12" name="Picture 11">
          <a:extLst>
            <a:ext uri="{FF2B5EF4-FFF2-40B4-BE49-F238E27FC236}">
              <a16:creationId xmlns:a16="http://schemas.microsoft.com/office/drawing/2014/main" id="{525A8650-3558-0281-DC97-7458EBD6D106}"/>
            </a:ext>
          </a:extLst>
        </xdr:cNvPr>
        <xdr:cNvPicPr>
          <a:picLocks noChangeAspect="1" noChangeArrowheads="1"/>
        </xdr:cNvPicPr>
      </xdr:nvPicPr>
      <xdr:blipFill>
        <a:blip xmlns:r="http://schemas.openxmlformats.org/officeDocument/2006/relationships" r:embed="rId8">
          <a:extLst>
            <a:ext uri="{28A0092B-C50C-407E-A947-70E740481C1C}">
              <a14:useLocalDpi xmlns:a14="http://schemas.microsoft.com/office/drawing/2010/main" val="0"/>
            </a:ext>
          </a:extLst>
        </a:blip>
        <a:srcRect/>
        <a:stretch>
          <a:fillRect/>
        </a:stretch>
      </xdr:blipFill>
      <xdr:spPr bwMode="auto">
        <a:xfrm>
          <a:off x="6477000" y="25755600"/>
          <a:ext cx="72644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120</xdr:row>
      <xdr:rowOff>101600</xdr:rowOff>
    </xdr:from>
    <xdr:to>
      <xdr:col>10</xdr:col>
      <xdr:colOff>520700</xdr:colOff>
      <xdr:row>121</xdr:row>
      <xdr:rowOff>152400</xdr:rowOff>
    </xdr:to>
    <xdr:pic>
      <xdr:nvPicPr>
        <xdr:cNvPr id="13" name="Picture 12">
          <a:extLst>
            <a:ext uri="{FF2B5EF4-FFF2-40B4-BE49-F238E27FC236}">
              <a16:creationId xmlns:a16="http://schemas.microsoft.com/office/drawing/2014/main" id="{A8BF7D03-F1C9-BFA9-7D20-43CFA5B72812}"/>
            </a:ext>
          </a:extLst>
        </xdr:cNvPr>
        <xdr:cNvPicPr>
          <a:picLocks noChangeAspect="1" noChangeArrowheads="1"/>
        </xdr:cNvPicPr>
      </xdr:nvPicPr>
      <xdr:blipFill>
        <a:blip xmlns:r="http://schemas.openxmlformats.org/officeDocument/2006/relationships" r:embed="rId9">
          <a:extLst>
            <a:ext uri="{28A0092B-C50C-407E-A947-70E740481C1C}">
              <a14:useLocalDpi xmlns:a14="http://schemas.microsoft.com/office/drawing/2010/main" val="0"/>
            </a:ext>
          </a:extLst>
        </a:blip>
        <a:srcRect/>
        <a:stretch>
          <a:fillRect/>
        </a:stretch>
      </xdr:blipFill>
      <xdr:spPr bwMode="auto">
        <a:xfrm>
          <a:off x="6502400" y="26098500"/>
          <a:ext cx="50038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124</xdr:row>
      <xdr:rowOff>76200</xdr:rowOff>
    </xdr:from>
    <xdr:to>
      <xdr:col>13</xdr:col>
      <xdr:colOff>635000</xdr:colOff>
      <xdr:row>125</xdr:row>
      <xdr:rowOff>127000</xdr:rowOff>
    </xdr:to>
    <xdr:pic>
      <xdr:nvPicPr>
        <xdr:cNvPr id="14" name="Picture 13">
          <a:extLst>
            <a:ext uri="{FF2B5EF4-FFF2-40B4-BE49-F238E27FC236}">
              <a16:creationId xmlns:a16="http://schemas.microsoft.com/office/drawing/2014/main" id="{C64C4FC7-698E-6AD1-F6CC-34F4D2764688}"/>
            </a:ext>
          </a:extLst>
        </xdr:cNvPr>
        <xdr:cNvPicPr>
          <a:picLocks noChangeAspect="1" noChangeArrowheads="1"/>
        </xdr:cNvPicPr>
      </xdr:nvPicPr>
      <xdr:blipFill>
        <a:blip xmlns:r="http://schemas.openxmlformats.org/officeDocument/2006/relationships" r:embed="rId10">
          <a:extLst>
            <a:ext uri="{28A0092B-C50C-407E-A947-70E740481C1C}">
              <a14:useLocalDpi xmlns:a14="http://schemas.microsoft.com/office/drawing/2010/main" val="0"/>
            </a:ext>
          </a:extLst>
        </a:blip>
        <a:srcRect/>
        <a:stretch>
          <a:fillRect/>
        </a:stretch>
      </xdr:blipFill>
      <xdr:spPr bwMode="auto">
        <a:xfrm>
          <a:off x="6502400" y="26885900"/>
          <a:ext cx="75946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1409700</xdr:colOff>
      <xdr:row>125</xdr:row>
      <xdr:rowOff>139700</xdr:rowOff>
    </xdr:from>
    <xdr:to>
      <xdr:col>15</xdr:col>
      <xdr:colOff>101600</xdr:colOff>
      <xdr:row>126</xdr:row>
      <xdr:rowOff>190500</xdr:rowOff>
    </xdr:to>
    <xdr:pic>
      <xdr:nvPicPr>
        <xdr:cNvPr id="15" name="Picture 14">
          <a:extLst>
            <a:ext uri="{FF2B5EF4-FFF2-40B4-BE49-F238E27FC236}">
              <a16:creationId xmlns:a16="http://schemas.microsoft.com/office/drawing/2014/main" id="{BF79A366-961C-842F-CD0D-A34411DBD525}"/>
            </a:ext>
          </a:extLst>
        </xdr:cNvPr>
        <xdr:cNvPicPr>
          <a:picLocks noChangeAspect="1" noChangeArrowheads="1"/>
        </xdr:cNvPicPr>
      </xdr:nvPicPr>
      <xdr:blipFill>
        <a:blip xmlns:r="http://schemas.openxmlformats.org/officeDocument/2006/relationships" r:embed="rId11">
          <a:extLst>
            <a:ext uri="{28A0092B-C50C-407E-A947-70E740481C1C}">
              <a14:useLocalDpi xmlns:a14="http://schemas.microsoft.com/office/drawing/2010/main" val="0"/>
            </a:ext>
          </a:extLst>
        </a:blip>
        <a:srcRect/>
        <a:stretch>
          <a:fillRect/>
        </a:stretch>
      </xdr:blipFill>
      <xdr:spPr bwMode="auto">
        <a:xfrm>
          <a:off x="6477000" y="27152600"/>
          <a:ext cx="87376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4</xdr:col>
      <xdr:colOff>1422400</xdr:colOff>
      <xdr:row>127</xdr:row>
      <xdr:rowOff>12700</xdr:rowOff>
    </xdr:from>
    <xdr:to>
      <xdr:col>12</xdr:col>
      <xdr:colOff>330200</xdr:colOff>
      <xdr:row>128</xdr:row>
      <xdr:rowOff>63500</xdr:rowOff>
    </xdr:to>
    <xdr:pic>
      <xdr:nvPicPr>
        <xdr:cNvPr id="16" name="Picture 15">
          <a:extLst>
            <a:ext uri="{FF2B5EF4-FFF2-40B4-BE49-F238E27FC236}">
              <a16:creationId xmlns:a16="http://schemas.microsoft.com/office/drawing/2014/main" id="{7E759A42-A94A-7BE3-365D-93AACCF51D86}"/>
            </a:ext>
          </a:extLst>
        </xdr:cNvPr>
        <xdr:cNvPicPr>
          <a:picLocks noChangeAspect="1" noChangeArrowheads="1"/>
        </xdr:cNvPicPr>
      </xdr:nvPicPr>
      <xdr:blipFill>
        <a:blip xmlns:r="http://schemas.openxmlformats.org/officeDocument/2006/relationships" r:embed="rId12">
          <a:extLst>
            <a:ext uri="{28A0092B-C50C-407E-A947-70E740481C1C}">
              <a14:useLocalDpi xmlns:a14="http://schemas.microsoft.com/office/drawing/2010/main" val="0"/>
            </a:ext>
          </a:extLst>
        </a:blip>
        <a:srcRect/>
        <a:stretch>
          <a:fillRect/>
        </a:stretch>
      </xdr:blipFill>
      <xdr:spPr bwMode="auto">
        <a:xfrm>
          <a:off x="6489700" y="27432000"/>
          <a:ext cx="64770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128</xdr:row>
      <xdr:rowOff>63500</xdr:rowOff>
    </xdr:from>
    <xdr:to>
      <xdr:col>12</xdr:col>
      <xdr:colOff>609600</xdr:colOff>
      <xdr:row>129</xdr:row>
      <xdr:rowOff>114300</xdr:rowOff>
    </xdr:to>
    <xdr:pic>
      <xdr:nvPicPr>
        <xdr:cNvPr id="17" name="Picture 16">
          <a:extLst>
            <a:ext uri="{FF2B5EF4-FFF2-40B4-BE49-F238E27FC236}">
              <a16:creationId xmlns:a16="http://schemas.microsoft.com/office/drawing/2014/main" id="{77431ED5-529B-7A80-6780-723E2421A235}"/>
            </a:ext>
          </a:extLst>
        </xdr:cNvPr>
        <xdr:cNvPicPr>
          <a:picLocks noChangeAspect="1" noChangeArrowheads="1"/>
        </xdr:cNvPicPr>
      </xdr:nvPicPr>
      <xdr:blipFill>
        <a:blip xmlns:r="http://schemas.openxmlformats.org/officeDocument/2006/relationships" r:embed="rId13">
          <a:extLst>
            <a:ext uri="{28A0092B-C50C-407E-A947-70E740481C1C}">
              <a14:useLocalDpi xmlns:a14="http://schemas.microsoft.com/office/drawing/2010/main" val="0"/>
            </a:ext>
          </a:extLst>
        </a:blip>
        <a:srcRect/>
        <a:stretch>
          <a:fillRect/>
        </a:stretch>
      </xdr:blipFill>
      <xdr:spPr bwMode="auto">
        <a:xfrm>
          <a:off x="6502400" y="27686000"/>
          <a:ext cx="67437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0</xdr:colOff>
      <xdr:row>129</xdr:row>
      <xdr:rowOff>139700</xdr:rowOff>
    </xdr:from>
    <xdr:to>
      <xdr:col>11</xdr:col>
      <xdr:colOff>152400</xdr:colOff>
      <xdr:row>130</xdr:row>
      <xdr:rowOff>190500</xdr:rowOff>
    </xdr:to>
    <xdr:pic>
      <xdr:nvPicPr>
        <xdr:cNvPr id="18" name="Picture 17">
          <a:extLst>
            <a:ext uri="{FF2B5EF4-FFF2-40B4-BE49-F238E27FC236}">
              <a16:creationId xmlns:a16="http://schemas.microsoft.com/office/drawing/2014/main" id="{4B72456A-37BF-DAC0-4A38-95D2F31AD353}"/>
            </a:ext>
          </a:extLst>
        </xdr:cNvPr>
        <xdr:cNvPicPr>
          <a:picLocks noChangeAspect="1" noChangeArrowheads="1"/>
        </xdr:cNvPicPr>
      </xdr:nvPicPr>
      <xdr:blipFill>
        <a:blip xmlns:r="http://schemas.openxmlformats.org/officeDocument/2006/relationships" r:embed="rId14">
          <a:extLst>
            <a:ext uri="{28A0092B-C50C-407E-A947-70E740481C1C}">
              <a14:useLocalDpi xmlns:a14="http://schemas.microsoft.com/office/drawing/2010/main" val="0"/>
            </a:ext>
          </a:extLst>
        </a:blip>
        <a:srcRect/>
        <a:stretch>
          <a:fillRect/>
        </a:stretch>
      </xdr:blipFill>
      <xdr:spPr bwMode="auto">
        <a:xfrm>
          <a:off x="6502400" y="27965400"/>
          <a:ext cx="5461000" cy="25400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0</xdr:col>
      <xdr:colOff>0</xdr:colOff>
      <xdr:row>133</xdr:row>
      <xdr:rowOff>0</xdr:rowOff>
    </xdr:from>
    <xdr:to>
      <xdr:col>4</xdr:col>
      <xdr:colOff>1081430</xdr:colOff>
      <xdr:row>153</xdr:row>
      <xdr:rowOff>190500</xdr:rowOff>
    </xdr:to>
    <xdr:pic>
      <xdr:nvPicPr>
        <xdr:cNvPr id="19" name="Picture 18">
          <a:extLst>
            <a:ext uri="{FF2B5EF4-FFF2-40B4-BE49-F238E27FC236}">
              <a16:creationId xmlns:a16="http://schemas.microsoft.com/office/drawing/2014/main" id="{42408709-1057-130B-F706-86B49E3A2965}"/>
            </a:ext>
          </a:extLst>
        </xdr:cNvPr>
        <xdr:cNvPicPr>
          <a:picLocks noChangeAspect="1"/>
        </xdr:cNvPicPr>
      </xdr:nvPicPr>
      <xdr:blipFill>
        <a:blip xmlns:r="http://schemas.openxmlformats.org/officeDocument/2006/relationships" r:embed="rId15"/>
        <a:stretch>
          <a:fillRect/>
        </a:stretch>
      </xdr:blipFill>
      <xdr:spPr>
        <a:xfrm>
          <a:off x="0" y="28638500"/>
          <a:ext cx="6148730" cy="4254500"/>
        </a:xfrm>
        <a:prstGeom prst="rect">
          <a:avLst/>
        </a:prstGeom>
      </xdr:spPr>
    </xdr:pic>
    <xdr:clientData/>
  </xdr:twoCellAnchor>
</xdr:wsDr>
</file>

<file path=xl/ink/ink1.xml><?xml version="1.0" encoding="utf-8"?>
<inkml:ink xmlns:inkml="http://www.w3.org/2003/InkML">
  <inkml:definitions>
    <inkml:context xml:id="ctx0">
      <inkml:inkSource xml:id="inkSrc0">
        <inkml:traceFormat>
          <inkml:channel name="X" type="integer" min="-2.14748E9" max="2.14748E9" units="cm"/>
          <inkml:channel name="Y" type="integer" min="-2.14748E9" max="2.14748E9" units="cm"/>
          <inkml:channel name="F" type="integer" max="32767" units="dev"/>
        </inkml:traceFormat>
        <inkml:channelProperties>
          <inkml:channelProperty channel="X" name="resolution" value="1000" units="1/cm"/>
          <inkml:channelProperty channel="Y" name="resolution" value="1000" units="1/cm"/>
          <inkml:channelProperty channel="F" name="resolution" value="0" units="1/dev"/>
        </inkml:channelProperties>
      </inkml:inkSource>
      <inkml:timestamp xml:id="ts0" timeString="2023-06-28T11:30:44.331"/>
    </inkml:context>
    <inkml:brush xml:id="br0">
      <inkml:brushProperty name="width" value="0.05" units="cm"/>
      <inkml:brushProperty name="height" value="0.05" units="cm"/>
      <inkml:brushProperty name="color" value="#CC0066"/>
    </inkml:brush>
  </inkml:definitions>
  <inkml:trace contextRef="#ctx0" brushRef="#br0">1563 4089 24575,'-12'0'0,"-2"0"0,4 0 0,-18 15 0,11-11 0,-11 18 0,18-20 0,0 9 0,1-9 0,-2 7 0,1-8 0,-3 5 0,-1-2 0,-4 3 0,-4 3 0,4-5 0,-8 9 0,3-9 0,-9 10 0,0-6 0,0 3 0,0-4 0,0 0 0,0 0 0,0 0 0,-5 0 0,4 0 0,-4-3 0,5-2 0,0-3 0,4 0 0,2 0 0,4 0 0,0 0 0,0 0 0,0 0 0,0 0 0,3 0 0,-2 0 0,7-3 0,-7-1 0,7-3 0,-7 0 0,2 0 0,1-3 0,-3 2 0,3-3 0,-4 4 0,0 0 0,0-1 0,0-3 0,4 3 0,-3-2 0,2-1 0,1 3 0,1-5 0,3 6 0,1-6 0,0 5 0,2-1 0,2-1 0,-1 3 0,6-3 0,-5 1 0,5 2 0,-2-6 0,-4 3 0,3-1 0,-3-1 0,4 2 0,-1-1 0,-2-1 0,2 1 0,-3 1 0,4 1 0,-1-1 0,1 3 0,-1-5 0,1 5 0,-1-6 0,4 6 0,-3-2 0,3 2 0,-1 1 0,-1-3 0,4 2 0,-5-6 0,2 3 0,-3-4 0,0-3 0,-3-6 0,1 0 0,-2-8 0,-1 3 0,4 1 0,-4-4 0,5 7 0,2-2 0,2-1 0,0 4 0,2 0 0,-2 2 0,3 3 0,0-4 0,0 3 0,-4-2 0,4 7 0,-4-8 0,4 8 0,-3-7 0,2 6 0,-2-6 0,3 3 0,0-4 0,0 0 0,0-1 0,0 1 0,0-4 0,0-2 0,0-4 0,0 0 0,0-5 0,0 3 0,0-27 0,0 13 0,0-28 0,0 13 0,0 9 0,0-5 0,4 7 0,1 0 0,4-3 0,4 12 0,-4 4 0,7 2 0,-8 5 0,7 4 0,-3 2 0,5 7 0,-1-3 0,1 7 0,11-6 0,-8 9 0,16 2 0,-8 3 0,14 2 0,3-8 0,11 2 0,0-2 0,-11 4 0,8-4 0,-8 3 0,5-4 0,-1 5 0,-6 1 0,0-1 0,0 0 0,6 4 0,-5 2 0,5-1 0,-6 3 0,0-7 0,0 7 0,0-7 0,-5 7 0,-1-3 0,-5 4 0,0 0 0,0 0 0,-5 0 0,4 0 0,-8 0 0,8 0 0,-12 0 0,6 4 0,-6 0 0,-1 3 0,-1 0 0,-4 2 0,-3-1 0,3 4 0,-6-2 0,6 4 0,-6-1 0,3 1 0,-4-1 0,1 0 0,-1-2 0,1 1 0,-1-2 0,1 4 0,0-1 0,-1 1 0,-2-1 0,2-3 0,-3 3 0,1-3 0,2 7 0,-3-6 0,5 9 0,-2-8 0,1 5 0,0-4 0,-1 1 0,1-1 0,0 4 0,0-2 0,0 2 0,-1-4 0,1 1 0,0 3 0,0-3 0,0 4 0,0-1 0,0 1 0,0 0 0,0 3 0,0-2 0,0-1 0,0 3 0,0-7 0,0 7 0,0-6 0,0 2 0,0 0 0,0-2 0,-1 2 0,1 0 0,0 1 0,0 1 0,-3 2 0,3-3 0,-7 4 0,7 0 0,-3 0 0,0 0 0,3 0 0,-7 5 0,7-4 0,-3 3 0,0 1 0,-1-4 0,1 3 0,-4-4 0,4 5 0,-4-4 0,0 4 0,0-9 0,0 3 0,0-3 0,0 0 0,0 3 0,0-2 0,0 3 0,0 0 0,0 0 0,0 0 0,0 0 0,-4 0 0,0 0 0,0 0 0,-2-4 0,2-1 0,-3-3 0,1-1 0,-1 1 0,0-1 0,1-3 0,-4 3 0,3-6 0,-2 2 0,-1 0 0,3-2 0,-5 6 0,4-3 0,-4 3 0,1 5 0,-7-3 0,3 6 0,-3-2 0,-1 4 0,3-1 0,-6-2 0,2 2 0,2-7 0,-1 7 0,6-8 0,-1 3 0,0-3 0,4-4 0,-2 3 0,5-7 0,-3 4 0,4-4 0,3 0 0,-3 0 0,3 0 0,-1 0 0,-1 0 0,2 0 0,-1 0 0,-1 0 0,1 0 0,1 1 0,-2-1 0,1 0 0,1 0 0,-3 0 0,6 0 0,-6 0 0,3 0 0,-1 0 0,-1 0 0,2 0 0,-3-3 0,3 0 0,0-3 0</inkml:trace>
  <inkml:trace contextRef="#ctx0" brushRef="#br0" timeOffset="1213">1958 2601 8191,'-3'3'0,"0"0"0</inkml:trace>
  <inkml:trace contextRef="#ctx0" brushRef="#br0" timeOffset="9188">1405 2122 24575,'6'-6'0,"-1"-1"0,5-2 0,2-1 0,2-1 0,3-2 0,-1 2 0,4-2 0,5-2 0,6-3 0,4-1 0,-1 2 0,6-3 0,8-1 0,14-6 0,11-5 0,16-5-536,-42 17 1,0 0 535,0 0 0,0 0 0,-1 0 0,-1 0 0,33-15 0,-3 0 0,-5-1 0,-3 0 0,7-3-390,-31 17 1,4-1 389,7-3 0,3-1 0,8-2 0,2 0-719,2 1 1,0 0 718,2 0 0,1-1 0,3 0 0,2 0 0,5-2 0,3-1 0,-23 10 0,2-1 0,2 0-373,6-1 0,2 0 1,1 0 372,6-1 0,1 1 0,3 0-842,4-1 1,1 2 0,2 0 841,2-1 0,2 1 0,0 1-782,-23 5 1,1 1-1,0 0 1,0 0 781,19-4 0,1 1 0,1 0 0,-18 4 0,3-1 0,-1 1 0,1 0 0,1 0 0,0 1 0,0 0 0,1 0 0,3 0 0,0 1 0,1 0 0,1 0 0,1 0 0,1 0 0,0 0 0,1 1 0,1 0 0,1 1 0,0 1 0,1-1-506,-14 2 1,1 1 0,0-1 0,1 1 0,0 0 505,1-1 0,0 1 0,0 0 0,1 0 0,-1 0 0,-1 1 0,0-1 0,0 1 0,-1-1 0,0 1-310,15-2 1,-1 0-1,0 1 1,-1-1 309,-2 1 0,-1 0 0,-1 0 0,0 0 0,-3 0 0,0 1 0,0-1 0,-1 0 0,-2 0 0,0 0 0,-1-1 0,-1 2-98,18-3 0,-3 1 0,0 0 98,1 1 0,-1 1 0,1 0 0,2 1 0,0 1 0,0 1 102,-24 1 0,1 1 1,0 0-1,0 0-102,2-1 0,0 1 0,1 0 0,-1 0 0,21-1 0,-1 0 0,-2 1 543,-7-1 0,-2 1 0,-3 0-543,-7 0 0,-3 0 0,-3 1 0,19-1 0,-6 1 1081,-11 1 1,-3 0-1082,-8 0 0,-1 0 0,-3 0 0,-2 1 1086,-3 0 1,-2-1-1087,46 3 3411,-8 0-3411,9 2 0,-47-1 0,0 0 0,48 4 0,-9 1 0,-16-3 0,-10-1 0,-5-1 2471,-4-1-2471,-7-1 1202,-3 1-1202,-2-1 579,-4 0-579,5 2 76,13 3-76,20 4 0,17 3-432,-42-7 1,-1 1 431,1-2 0,-1 1 0,46 5-289,-7-2 289,-14-4 0,-15-1 0,-16-2 0,-15-1 0,-12-1 849,-9-1-849,-6-4 303,-3 0-303,-2-6 0,-3-4 0,-4-3 0,-3-2 0,-1 0 0,0 2 0,1 1 0,1 1 0,-3 1 0,-1-1 0,-1 0 0,2 2 0,4 4 0,2 3 0,2 2 0,1 1 0,3 4 0,1 4 0,5 7 0,5 5 0,7 4 0,7 5 0,14 5 0,23 13 0,20 6 0,-33-22 0,1-2 0,-1 0 0,0-2 0,30 13 0,-22-11 0,-23-12 0,-20-8 0,-16-4 0,-15-2 0,-12 0 0,-15 0 0,-4 1 0,-2 0 0,7 1 0,16 0 0,7 0 0,11 1 0,4-1 0,1 1 0,1-1 0,2 1 0,0 0 0,-2 1 0,0 0 0,-4 4 0,-5 3 0,-2 2 0,-3 1 0,0 1 0,1 1 0,0-2 0,2-2 0,5-4 0,3-2 0,3-3 0,2 0 0,1-1 0,0-1 0,1 1 0</inkml:trace>
</inkml:ink>
</file>

<file path=xl/persons/person.xml><?xml version="1.0" encoding="utf-8"?>
<personList xmlns="http://schemas.microsoft.com/office/spreadsheetml/2018/threadedcomments" xmlns:x="http://schemas.openxmlformats.org/spreadsheetml/2006/main"/>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1.bin"/></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45AA989-3B38-4640-94A5-46C8F6B2C570}">
  <dimension ref="A1:G15"/>
  <sheetViews>
    <sheetView showGridLines="0" zoomScale="150" workbookViewId="0">
      <selection activeCell="D7" sqref="D7"/>
    </sheetView>
  </sheetViews>
  <sheetFormatPr baseColWidth="10" defaultRowHeight="16" x14ac:dyDescent="0.2"/>
  <cols>
    <col min="1" max="1" width="3.83203125" style="1" customWidth="1"/>
    <col min="2" max="2" width="12.33203125" style="3" customWidth="1"/>
    <col min="3" max="3" width="22.1640625" style="1" customWidth="1"/>
    <col min="4" max="4" width="28.1640625" style="1" customWidth="1"/>
    <col min="5" max="5" width="2" style="3" customWidth="1"/>
    <col min="6" max="6" width="17.1640625" style="1" bestFit="1" customWidth="1"/>
    <col min="7" max="7" width="65.6640625" style="9" customWidth="1"/>
  </cols>
  <sheetData>
    <row r="1" spans="1:7" ht="30" x14ac:dyDescent="0.2">
      <c r="A1" s="57">
        <v>14</v>
      </c>
      <c r="B1" s="2">
        <v>45068</v>
      </c>
      <c r="C1" s="1" t="s">
        <v>124</v>
      </c>
      <c r="D1" s="1" t="s">
        <v>139</v>
      </c>
      <c r="F1" s="3" t="s">
        <v>0</v>
      </c>
      <c r="G1" s="4" t="s">
        <v>1</v>
      </c>
    </row>
    <row r="2" spans="1:7" ht="30" x14ac:dyDescent="0.2">
      <c r="A2" s="57">
        <v>15</v>
      </c>
      <c r="B2" s="2">
        <v>45075</v>
      </c>
      <c r="C2" s="1" t="s">
        <v>124</v>
      </c>
      <c r="F2" s="3"/>
      <c r="G2" s="5" t="s">
        <v>2</v>
      </c>
    </row>
    <row r="3" spans="1:7" ht="30" x14ac:dyDescent="0.2">
      <c r="A3" s="57">
        <v>16</v>
      </c>
      <c r="B3" s="2">
        <v>45079</v>
      </c>
      <c r="C3" s="1" t="s">
        <v>138</v>
      </c>
      <c r="F3" s="3"/>
      <c r="G3" s="5" t="s">
        <v>3</v>
      </c>
    </row>
    <row r="4" spans="1:7" ht="30" x14ac:dyDescent="0.2">
      <c r="A4" s="57">
        <v>17</v>
      </c>
      <c r="B4" s="2">
        <v>45082</v>
      </c>
      <c r="C4" s="1" t="s">
        <v>162</v>
      </c>
      <c r="D4" s="1" t="s">
        <v>519</v>
      </c>
      <c r="F4" s="3"/>
      <c r="G4" s="5" t="s">
        <v>4</v>
      </c>
    </row>
    <row r="5" spans="1:7" ht="32" customHeight="1" x14ac:dyDescent="0.2">
      <c r="A5" s="1">
        <v>18</v>
      </c>
      <c r="B5" s="2">
        <v>45086</v>
      </c>
      <c r="C5" s="1" t="s">
        <v>479</v>
      </c>
      <c r="F5" s="6" t="s">
        <v>5</v>
      </c>
      <c r="G5" s="7" t="s">
        <v>6</v>
      </c>
    </row>
    <row r="6" spans="1:7" ht="30" x14ac:dyDescent="0.2">
      <c r="A6" s="1">
        <v>19</v>
      </c>
      <c r="B6" s="2">
        <v>45087</v>
      </c>
      <c r="C6" s="1" t="s">
        <v>479</v>
      </c>
      <c r="F6" s="3"/>
      <c r="G6" s="5" t="s">
        <v>7</v>
      </c>
    </row>
    <row r="7" spans="1:7" ht="30" x14ac:dyDescent="0.2">
      <c r="A7" s="1">
        <v>20</v>
      </c>
      <c r="B7" s="2">
        <v>45089</v>
      </c>
      <c r="C7" s="1" t="s">
        <v>480</v>
      </c>
      <c r="F7" s="3"/>
      <c r="G7" s="5" t="s">
        <v>8</v>
      </c>
    </row>
    <row r="8" spans="1:7" ht="48" customHeight="1" x14ac:dyDescent="0.2">
      <c r="A8" s="1">
        <v>21</v>
      </c>
      <c r="B8" s="2">
        <f>+B7+4</f>
        <v>45093</v>
      </c>
      <c r="C8" s="1" t="s">
        <v>480</v>
      </c>
      <c r="F8" s="6" t="s">
        <v>9</v>
      </c>
      <c r="G8" s="7" t="s">
        <v>10</v>
      </c>
    </row>
    <row r="9" spans="1:7" ht="30" x14ac:dyDescent="0.2">
      <c r="A9" s="90"/>
      <c r="B9" s="90" t="s">
        <v>235</v>
      </c>
      <c r="C9" s="90"/>
      <c r="D9" s="90"/>
      <c r="F9" s="3"/>
      <c r="G9" s="5" t="s">
        <v>11</v>
      </c>
    </row>
    <row r="10" spans="1:7" ht="30" x14ac:dyDescent="0.2">
      <c r="A10" s="1">
        <v>1</v>
      </c>
      <c r="B10" s="2">
        <v>45082</v>
      </c>
      <c r="C10" s="1" t="s">
        <v>236</v>
      </c>
      <c r="F10" s="3"/>
      <c r="G10" s="5" t="s">
        <v>12</v>
      </c>
    </row>
    <row r="11" spans="1:7" ht="45" x14ac:dyDescent="0.2">
      <c r="A11" s="1">
        <v>2</v>
      </c>
      <c r="B11" s="2">
        <v>45096</v>
      </c>
      <c r="C11" s="1" t="s">
        <v>237</v>
      </c>
      <c r="F11" s="6" t="s">
        <v>13</v>
      </c>
      <c r="G11" s="7" t="s">
        <v>14</v>
      </c>
    </row>
    <row r="12" spans="1:7" ht="30" x14ac:dyDescent="0.2">
      <c r="F12" s="3"/>
      <c r="G12" s="5" t="s">
        <v>15</v>
      </c>
    </row>
    <row r="13" spans="1:7" ht="30" x14ac:dyDescent="0.2">
      <c r="F13" s="3"/>
      <c r="G13" s="5" t="s">
        <v>16</v>
      </c>
    </row>
    <row r="14" spans="1:7" ht="30" x14ac:dyDescent="0.2">
      <c r="F14" s="3"/>
      <c r="G14" s="5" t="s">
        <v>17</v>
      </c>
    </row>
    <row r="15" spans="1:7" x14ac:dyDescent="0.2">
      <c r="G15" s="8"/>
    </row>
  </sheetData>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9D1D9E8-CA5F-C64F-94EE-5E4D0C76CAF3}">
  <dimension ref="A1:Q333"/>
  <sheetViews>
    <sheetView showGridLines="0" topLeftCell="A37" zoomScale="125" workbookViewId="0">
      <selection activeCell="E33" sqref="E33"/>
    </sheetView>
  </sheetViews>
  <sheetFormatPr baseColWidth="10" defaultRowHeight="16" x14ac:dyDescent="0.2"/>
  <cols>
    <col min="4" max="4" width="11.6640625" customWidth="1"/>
    <col min="5" max="5" width="15.6640625" customWidth="1"/>
    <col min="6" max="6" width="14.6640625" customWidth="1"/>
    <col min="13" max="13" width="7" bestFit="1" customWidth="1"/>
    <col min="14" max="14" width="15.6640625" style="43" customWidth="1"/>
    <col min="16" max="16" width="14.83203125" customWidth="1"/>
    <col min="17" max="17" width="14.1640625" customWidth="1"/>
  </cols>
  <sheetData>
    <row r="1" spans="1:11" customFormat="1" x14ac:dyDescent="0.2"/>
    <row r="2" spans="1:11" s="24" customFormat="1" ht="78" customHeight="1" x14ac:dyDescent="0.2">
      <c r="A2" s="107" t="s">
        <v>163</v>
      </c>
    </row>
    <row r="3" spans="1:11" customFormat="1" x14ac:dyDescent="0.2"/>
    <row r="4" spans="1:11" customFormat="1" x14ac:dyDescent="0.2"/>
    <row r="5" spans="1:11" customFormat="1" x14ac:dyDescent="0.2">
      <c r="K5" t="s">
        <v>171</v>
      </c>
    </row>
    <row r="6" spans="1:11" customFormat="1" x14ac:dyDescent="0.2">
      <c r="K6" t="s">
        <v>228</v>
      </c>
    </row>
    <row r="7" spans="1:11" customFormat="1" x14ac:dyDescent="0.2"/>
    <row r="8" spans="1:11" customFormat="1" x14ac:dyDescent="0.2"/>
    <row r="9" spans="1:11" customFormat="1" x14ac:dyDescent="0.2"/>
    <row r="10" spans="1:11" customFormat="1" x14ac:dyDescent="0.2"/>
    <row r="11" spans="1:11" customFormat="1" x14ac:dyDescent="0.2"/>
    <row r="12" spans="1:11" customFormat="1" x14ac:dyDescent="0.2"/>
    <row r="13" spans="1:11" customFormat="1" x14ac:dyDescent="0.2"/>
    <row r="14" spans="1:11" customFormat="1" x14ac:dyDescent="0.2"/>
    <row r="15" spans="1:11" customFormat="1" x14ac:dyDescent="0.2"/>
    <row r="16" spans="1:11" customFormat="1" x14ac:dyDescent="0.2"/>
    <row r="17" customFormat="1" x14ac:dyDescent="0.2"/>
    <row r="18" customFormat="1" x14ac:dyDescent="0.2"/>
    <row r="19" customFormat="1" x14ac:dyDescent="0.2"/>
    <row r="20" customFormat="1" x14ac:dyDescent="0.2"/>
    <row r="21" customFormat="1" x14ac:dyDescent="0.2"/>
    <row r="22" customFormat="1" x14ac:dyDescent="0.2"/>
    <row r="23" customFormat="1" x14ac:dyDescent="0.2"/>
    <row r="24" customFormat="1" x14ac:dyDescent="0.2"/>
    <row r="25" customFormat="1" x14ac:dyDescent="0.2"/>
    <row r="26" customFormat="1" x14ac:dyDescent="0.2"/>
    <row r="27" customFormat="1" x14ac:dyDescent="0.2"/>
    <row r="28" customFormat="1" x14ac:dyDescent="0.2"/>
    <row r="29" customFormat="1" x14ac:dyDescent="0.2"/>
    <row r="30" customFormat="1" x14ac:dyDescent="0.2"/>
    <row r="31" customFormat="1" x14ac:dyDescent="0.2"/>
    <row r="32" customFormat="1" x14ac:dyDescent="0.2"/>
    <row r="33" spans="1:14" x14ac:dyDescent="0.2">
      <c r="N33"/>
    </row>
    <row r="34" spans="1:14" x14ac:dyDescent="0.2">
      <c r="N34"/>
    </row>
    <row r="35" spans="1:14" x14ac:dyDescent="0.2">
      <c r="N35"/>
    </row>
    <row r="36" spans="1:14" x14ac:dyDescent="0.2">
      <c r="N36"/>
    </row>
    <row r="37" spans="1:14" s="24" customFormat="1" ht="57" customHeight="1" x14ac:dyDescent="0.2">
      <c r="A37" s="107" t="s">
        <v>170</v>
      </c>
    </row>
    <row r="38" spans="1:14" x14ac:dyDescent="0.2">
      <c r="N38"/>
    </row>
    <row r="39" spans="1:14" x14ac:dyDescent="0.2">
      <c r="N39"/>
    </row>
    <row r="40" spans="1:14" x14ac:dyDescent="0.2">
      <c r="N40"/>
    </row>
    <row r="41" spans="1:14" x14ac:dyDescent="0.2">
      <c r="N41"/>
    </row>
    <row r="42" spans="1:14" x14ac:dyDescent="0.2">
      <c r="N42"/>
    </row>
    <row r="43" spans="1:14" x14ac:dyDescent="0.2">
      <c r="L43" t="s">
        <v>264</v>
      </c>
      <c r="N43"/>
    </row>
    <row r="44" spans="1:14" x14ac:dyDescent="0.2">
      <c r="L44" t="s">
        <v>265</v>
      </c>
      <c r="N44"/>
    </row>
    <row r="45" spans="1:14" x14ac:dyDescent="0.2">
      <c r="N45"/>
    </row>
    <row r="46" spans="1:14" x14ac:dyDescent="0.2">
      <c r="N46"/>
    </row>
    <row r="47" spans="1:14" x14ac:dyDescent="0.2">
      <c r="N47"/>
    </row>
    <row r="48" spans="1:14" x14ac:dyDescent="0.2">
      <c r="N48" t="s">
        <v>282</v>
      </c>
    </row>
    <row r="49" spans="13:17" x14ac:dyDescent="0.2">
      <c r="M49" t="s">
        <v>267</v>
      </c>
      <c r="N49" s="44" t="s">
        <v>295</v>
      </c>
      <c r="O49">
        <v>1000</v>
      </c>
      <c r="P49" t="s">
        <v>296</v>
      </c>
    </row>
    <row r="50" spans="13:17" x14ac:dyDescent="0.2">
      <c r="N50" s="44" t="s">
        <v>268</v>
      </c>
      <c r="O50" s="45">
        <v>0.17</v>
      </c>
      <c r="P50" t="s">
        <v>275</v>
      </c>
      <c r="Q50" t="s">
        <v>273</v>
      </c>
    </row>
    <row r="51" spans="13:17" x14ac:dyDescent="0.2">
      <c r="N51" s="44" t="s">
        <v>269</v>
      </c>
      <c r="O51" s="45">
        <v>20</v>
      </c>
      <c r="P51" t="s">
        <v>274</v>
      </c>
      <c r="Q51" t="s">
        <v>272</v>
      </c>
    </row>
    <row r="52" spans="13:17" x14ac:dyDescent="0.2">
      <c r="N52" s="44" t="s">
        <v>270</v>
      </c>
      <c r="O52" s="45">
        <v>0.75</v>
      </c>
      <c r="P52" t="s">
        <v>276</v>
      </c>
      <c r="Q52" t="s">
        <v>271</v>
      </c>
    </row>
    <row r="53" spans="13:17" x14ac:dyDescent="0.2">
      <c r="N53" s="44"/>
      <c r="O53" s="45"/>
    </row>
    <row r="54" spans="13:17" x14ac:dyDescent="0.2">
      <c r="N54" s="44"/>
      <c r="O54" s="45"/>
    </row>
    <row r="55" spans="13:17" x14ac:dyDescent="0.2">
      <c r="N55" s="44" t="s">
        <v>280</v>
      </c>
      <c r="O55" s="45"/>
    </row>
    <row r="56" spans="13:17" x14ac:dyDescent="0.2">
      <c r="N56" s="44" t="s">
        <v>277</v>
      </c>
      <c r="O56" s="45">
        <f>+O51*O52</f>
        <v>15</v>
      </c>
      <c r="P56" t="s">
        <v>278</v>
      </c>
    </row>
    <row r="57" spans="13:17" x14ac:dyDescent="0.2">
      <c r="M57" s="44" t="s">
        <v>284</v>
      </c>
      <c r="N57" s="44" t="s">
        <v>279</v>
      </c>
      <c r="O57" s="45">
        <f>+O51*0.25</f>
        <v>5</v>
      </c>
      <c r="P57" t="s">
        <v>285</v>
      </c>
    </row>
    <row r="58" spans="13:17" x14ac:dyDescent="0.2">
      <c r="N58" s="44"/>
      <c r="O58" s="45"/>
    </row>
    <row r="59" spans="13:17" x14ac:dyDescent="0.2">
      <c r="N59" s="44" t="s">
        <v>281</v>
      </c>
      <c r="O59" s="45">
        <f>+O56*O50</f>
        <v>2.5500000000000003</v>
      </c>
      <c r="P59" t="s">
        <v>283</v>
      </c>
    </row>
    <row r="60" spans="13:17" x14ac:dyDescent="0.2">
      <c r="N60"/>
    </row>
    <row r="61" spans="13:17" x14ac:dyDescent="0.2">
      <c r="N61" s="43" t="s">
        <v>287</v>
      </c>
    </row>
    <row r="62" spans="13:17" x14ac:dyDescent="0.2">
      <c r="N62" s="43" t="s">
        <v>288</v>
      </c>
    </row>
    <row r="63" spans="13:17" x14ac:dyDescent="0.2">
      <c r="N63" s="43" t="s">
        <v>289</v>
      </c>
    </row>
    <row r="64" spans="13:17" x14ac:dyDescent="0.2">
      <c r="N64"/>
      <c r="O64" s="43" t="s">
        <v>286</v>
      </c>
    </row>
    <row r="65" spans="1:17" x14ac:dyDescent="0.2">
      <c r="N65"/>
      <c r="O65" s="43" t="s">
        <v>291</v>
      </c>
    </row>
    <row r="66" spans="1:17" x14ac:dyDescent="0.2">
      <c r="N66" s="43" t="s">
        <v>290</v>
      </c>
    </row>
    <row r="68" spans="1:17" x14ac:dyDescent="0.2">
      <c r="N68" s="43" t="s">
        <v>293</v>
      </c>
    </row>
    <row r="69" spans="1:17" x14ac:dyDescent="0.2">
      <c r="N69" s="43" t="s">
        <v>294</v>
      </c>
    </row>
    <row r="70" spans="1:17" x14ac:dyDescent="0.2">
      <c r="N70" s="44" t="s">
        <v>297</v>
      </c>
      <c r="O70">
        <v>1000</v>
      </c>
      <c r="P70" t="s">
        <v>298</v>
      </c>
    </row>
    <row r="71" spans="1:17" x14ac:dyDescent="0.2">
      <c r="N71" s="44" t="s">
        <v>299</v>
      </c>
      <c r="O71" s="45">
        <f>1500/6882.3</f>
        <v>0.21795039449021403</v>
      </c>
      <c r="P71" t="s">
        <v>301</v>
      </c>
      <c r="Q71" t="s">
        <v>300</v>
      </c>
    </row>
    <row r="72" spans="1:17" x14ac:dyDescent="0.2">
      <c r="I72" s="21"/>
      <c r="N72" s="44" t="s">
        <v>304</v>
      </c>
      <c r="O72" s="45">
        <f>1500/50</f>
        <v>30</v>
      </c>
      <c r="P72" t="s">
        <v>302</v>
      </c>
      <c r="Q72" t="s">
        <v>272</v>
      </c>
    </row>
    <row r="73" spans="1:17" x14ac:dyDescent="0.2">
      <c r="I73" s="21"/>
      <c r="N73" s="44" t="s">
        <v>270</v>
      </c>
      <c r="O73" s="45">
        <v>0.75</v>
      </c>
      <c r="P73" t="s">
        <v>276</v>
      </c>
      <c r="Q73" t="s">
        <v>271</v>
      </c>
    </row>
    <row r="74" spans="1:17" x14ac:dyDescent="0.2">
      <c r="A74" t="s">
        <v>164</v>
      </c>
      <c r="B74" t="s">
        <v>165</v>
      </c>
      <c r="I74" s="21"/>
      <c r="J74" t="s">
        <v>168</v>
      </c>
    </row>
    <row r="75" spans="1:17" x14ac:dyDescent="0.2">
      <c r="B75" t="s">
        <v>166</v>
      </c>
      <c r="I75" s="21"/>
      <c r="J75" t="s">
        <v>169</v>
      </c>
      <c r="N75" s="44" t="s">
        <v>280</v>
      </c>
      <c r="O75" s="45"/>
    </row>
    <row r="76" spans="1:17" x14ac:dyDescent="0.2">
      <c r="A76" t="s">
        <v>167</v>
      </c>
      <c r="C76" t="s">
        <v>232</v>
      </c>
      <c r="I76" s="21"/>
      <c r="N76" s="44" t="s">
        <v>305</v>
      </c>
      <c r="O76" s="45">
        <f>+O73*O72</f>
        <v>22.5</v>
      </c>
      <c r="P76" t="s">
        <v>278</v>
      </c>
    </row>
    <row r="77" spans="1:17" x14ac:dyDescent="0.2">
      <c r="A77" t="s">
        <v>261</v>
      </c>
      <c r="M77" s="44" t="s">
        <v>307</v>
      </c>
      <c r="N77" s="44" t="s">
        <v>306</v>
      </c>
      <c r="O77" s="45">
        <f>+O72*0.25</f>
        <v>7.5</v>
      </c>
      <c r="P77" t="s">
        <v>285</v>
      </c>
    </row>
    <row r="78" spans="1:17" x14ac:dyDescent="0.2">
      <c r="A78" t="s">
        <v>262</v>
      </c>
      <c r="N78" s="44"/>
      <c r="O78" s="45"/>
    </row>
    <row r="79" spans="1:17" x14ac:dyDescent="0.2">
      <c r="A79" t="s">
        <v>263</v>
      </c>
      <c r="N79" s="44" t="s">
        <v>303</v>
      </c>
      <c r="O79" s="45">
        <f>+O76*O71</f>
        <v>4.9038838760298153</v>
      </c>
      <c r="P79" t="s">
        <v>308</v>
      </c>
    </row>
    <row r="81" spans="5:16" x14ac:dyDescent="0.2">
      <c r="N81" s="44" t="s">
        <v>292</v>
      </c>
      <c r="O81" s="43" t="s">
        <v>309</v>
      </c>
    </row>
    <row r="82" spans="5:16" x14ac:dyDescent="0.2">
      <c r="O82" t="s">
        <v>311</v>
      </c>
    </row>
    <row r="83" spans="5:16" x14ac:dyDescent="0.2">
      <c r="E83" t="s">
        <v>266</v>
      </c>
    </row>
    <row r="84" spans="5:16" x14ac:dyDescent="0.2">
      <c r="N84" s="44" t="s">
        <v>292</v>
      </c>
      <c r="O84" s="43" t="s">
        <v>310</v>
      </c>
    </row>
    <row r="85" spans="5:16" x14ac:dyDescent="0.2">
      <c r="N85" s="44" t="s">
        <v>292</v>
      </c>
      <c r="O85" t="s">
        <v>312</v>
      </c>
    </row>
    <row r="86" spans="5:16" x14ac:dyDescent="0.2">
      <c r="N86" s="44" t="s">
        <v>292</v>
      </c>
      <c r="O86" t="s">
        <v>313</v>
      </c>
    </row>
    <row r="87" spans="5:16" x14ac:dyDescent="0.2">
      <c r="N87" s="44" t="s">
        <v>292</v>
      </c>
      <c r="O87" t="s">
        <v>320</v>
      </c>
    </row>
    <row r="88" spans="5:16" x14ac:dyDescent="0.2">
      <c r="N88" s="44" t="s">
        <v>314</v>
      </c>
      <c r="O88" t="s">
        <v>315</v>
      </c>
      <c r="P88" t="s">
        <v>322</v>
      </c>
    </row>
    <row r="89" spans="5:16" x14ac:dyDescent="0.2">
      <c r="N89" s="44" t="s">
        <v>317</v>
      </c>
      <c r="O89" t="s">
        <v>316</v>
      </c>
      <c r="P89" t="s">
        <v>323</v>
      </c>
    </row>
    <row r="90" spans="5:16" x14ac:dyDescent="0.2">
      <c r="N90" s="44" t="s">
        <v>318</v>
      </c>
      <c r="O90" t="s">
        <v>316</v>
      </c>
      <c r="P90" t="s">
        <v>324</v>
      </c>
    </row>
    <row r="91" spans="5:16" x14ac:dyDescent="0.2">
      <c r="N91" s="44" t="s">
        <v>319</v>
      </c>
      <c r="O91" t="s">
        <v>316</v>
      </c>
    </row>
    <row r="95" spans="5:16" x14ac:dyDescent="0.2">
      <c r="P95" s="43" t="s">
        <v>321</v>
      </c>
    </row>
    <row r="96" spans="5:16" x14ac:dyDescent="0.2">
      <c r="P96" s="43" t="s">
        <v>325</v>
      </c>
    </row>
    <row r="101" spans="2:14" s="24" customFormat="1" ht="82" customHeight="1" x14ac:dyDescent="0.2">
      <c r="N101" s="108"/>
    </row>
    <row r="102" spans="2:14" s="11" customFormat="1" ht="20" x14ac:dyDescent="0.2">
      <c r="B102" s="10" t="s">
        <v>352</v>
      </c>
    </row>
    <row r="103" spans="2:14" s="11" customFormat="1" x14ac:dyDescent="0.2"/>
    <row r="104" spans="2:14" s="11" customFormat="1" x14ac:dyDescent="0.2"/>
    <row r="105" spans="2:14" s="11" customFormat="1" x14ac:dyDescent="0.2">
      <c r="B105" s="11" t="s">
        <v>353</v>
      </c>
    </row>
    <row r="106" spans="2:14" s="11" customFormat="1" x14ac:dyDescent="0.2">
      <c r="B106" s="46"/>
      <c r="C106" s="47"/>
      <c r="D106" s="47"/>
      <c r="E106" s="47"/>
      <c r="F106" s="47"/>
      <c r="G106" s="48"/>
    </row>
    <row r="107" spans="2:14" s="11" customFormat="1" x14ac:dyDescent="0.2">
      <c r="B107" s="49"/>
      <c r="C107" s="50"/>
      <c r="D107" s="50"/>
      <c r="E107" s="50"/>
      <c r="F107" s="50"/>
      <c r="G107" s="51"/>
    </row>
    <row r="108" spans="2:14" s="11" customFormat="1" x14ac:dyDescent="0.2">
      <c r="B108" s="49"/>
      <c r="C108" s="50"/>
      <c r="D108" s="50"/>
      <c r="E108" s="50"/>
      <c r="F108" s="50"/>
      <c r="G108" s="51"/>
    </row>
    <row r="109" spans="2:14" s="11" customFormat="1" x14ac:dyDescent="0.2">
      <c r="B109" s="49"/>
      <c r="C109" s="50"/>
      <c r="D109" s="50"/>
      <c r="E109" s="50"/>
      <c r="F109" s="50"/>
      <c r="G109" s="51"/>
    </row>
    <row r="110" spans="2:14" s="11" customFormat="1" x14ac:dyDescent="0.2">
      <c r="B110" s="52"/>
      <c r="C110" s="53"/>
      <c r="D110" s="53"/>
      <c r="E110" s="53"/>
      <c r="F110" s="53"/>
      <c r="G110" s="54"/>
    </row>
    <row r="111" spans="2:14" s="11" customFormat="1" x14ac:dyDescent="0.2"/>
    <row r="112" spans="2:14" s="11" customFormat="1" x14ac:dyDescent="0.2"/>
    <row r="113" spans="2:8" s="11" customFormat="1" x14ac:dyDescent="0.2">
      <c r="B113" s="11" t="s">
        <v>354</v>
      </c>
    </row>
    <row r="114" spans="2:8" s="11" customFormat="1" x14ac:dyDescent="0.2"/>
    <row r="115" spans="2:8" s="11" customFormat="1" x14ac:dyDescent="0.2">
      <c r="B115" s="11" t="s">
        <v>355</v>
      </c>
    </row>
    <row r="116" spans="2:8" s="11" customFormat="1" x14ac:dyDescent="0.2"/>
    <row r="117" spans="2:8" s="11" customFormat="1" x14ac:dyDescent="0.2">
      <c r="B117" s="11" t="s">
        <v>356</v>
      </c>
      <c r="C117" s="11">
        <v>0.25</v>
      </c>
      <c r="E117" s="11" t="s">
        <v>357</v>
      </c>
      <c r="F117" s="56">
        <f>C117*C118</f>
        <v>0.1</v>
      </c>
      <c r="G117" s="56" t="s">
        <v>378</v>
      </c>
      <c r="H117" s="56">
        <f>+C117*C118</f>
        <v>0.1</v>
      </c>
    </row>
    <row r="118" spans="2:8" s="11" customFormat="1" x14ac:dyDescent="0.2">
      <c r="B118" s="11" t="s">
        <v>358</v>
      </c>
      <c r="C118" s="11">
        <v>0.4</v>
      </c>
    </row>
    <row r="119" spans="2:8" s="11" customFormat="1" x14ac:dyDescent="0.2">
      <c r="B119" s="11" t="s">
        <v>359</v>
      </c>
      <c r="C119" s="11">
        <v>0.15</v>
      </c>
      <c r="D119" s="11" t="s">
        <v>252</v>
      </c>
      <c r="E119" s="11" t="s">
        <v>376</v>
      </c>
      <c r="F119" s="11" t="s">
        <v>377</v>
      </c>
    </row>
    <row r="120" spans="2:8" s="11" customFormat="1" x14ac:dyDescent="0.2">
      <c r="B120" s="11" t="s">
        <v>360</v>
      </c>
      <c r="C120" s="34">
        <v>8.3333329999999997</v>
      </c>
    </row>
    <row r="121" spans="2:8" s="11" customFormat="1" x14ac:dyDescent="0.2"/>
    <row r="122" spans="2:8" s="11" customFormat="1" x14ac:dyDescent="0.2"/>
    <row r="123" spans="2:8" s="11" customFormat="1" x14ac:dyDescent="0.2">
      <c r="B123" s="11" t="s">
        <v>361</v>
      </c>
    </row>
    <row r="124" spans="2:8" s="11" customFormat="1" x14ac:dyDescent="0.2"/>
    <row r="125" spans="2:8" s="11" customFormat="1" x14ac:dyDescent="0.2">
      <c r="C125" s="11">
        <f>+C120*(1-C118)</f>
        <v>4.9999997999999994</v>
      </c>
      <c r="D125" s="11" t="s">
        <v>374</v>
      </c>
    </row>
    <row r="126" spans="2:8" s="11" customFormat="1" x14ac:dyDescent="0.2">
      <c r="C126" s="11">
        <f>+C125/(C119-F117)</f>
        <v>99.99999600000001</v>
      </c>
      <c r="D126" s="11" t="s">
        <v>375</v>
      </c>
    </row>
    <row r="127" spans="2:8" s="11" customFormat="1" x14ac:dyDescent="0.2">
      <c r="B127" s="11" t="s">
        <v>362</v>
      </c>
    </row>
    <row r="128" spans="2:8" s="11" customFormat="1" x14ac:dyDescent="0.2"/>
    <row r="129" spans="2:12" s="11" customFormat="1" x14ac:dyDescent="0.2">
      <c r="C129" s="16">
        <f>+C120/C119</f>
        <v>55.555553333333336</v>
      </c>
      <c r="D129" s="11">
        <f>+C120/(C119-F117)</f>
        <v>166.66666000000004</v>
      </c>
      <c r="E129" s="11" t="s">
        <v>363</v>
      </c>
      <c r="F129" s="11" t="s">
        <v>364</v>
      </c>
      <c r="G129" s="18">
        <f>+C126-C129</f>
        <v>44.444442666666674</v>
      </c>
    </row>
    <row r="130" spans="2:12" s="11" customFormat="1" x14ac:dyDescent="0.2"/>
    <row r="131" spans="2:12" s="11" customFormat="1" x14ac:dyDescent="0.2">
      <c r="B131" s="11" t="s">
        <v>365</v>
      </c>
    </row>
    <row r="132" spans="2:12" s="11" customFormat="1" x14ac:dyDescent="0.2"/>
    <row r="133" spans="2:12" s="11" customFormat="1" x14ac:dyDescent="0.2">
      <c r="B133" s="11" t="s">
        <v>366</v>
      </c>
    </row>
    <row r="134" spans="2:12" s="11" customFormat="1" x14ac:dyDescent="0.2">
      <c r="H134" s="55" t="s">
        <v>367</v>
      </c>
      <c r="I134" s="11" t="s">
        <v>368</v>
      </c>
    </row>
    <row r="135" spans="2:12" s="11" customFormat="1" x14ac:dyDescent="0.2">
      <c r="B135" s="11" t="s">
        <v>380</v>
      </c>
      <c r="D135" s="16"/>
      <c r="E135" s="11">
        <f>+C120*C118</f>
        <v>3.3333332000000002</v>
      </c>
      <c r="F135" s="11" t="s">
        <v>379</v>
      </c>
      <c r="H135" s="55">
        <v>1</v>
      </c>
      <c r="I135" s="16">
        <f>D137</f>
        <v>0</v>
      </c>
    </row>
    <row r="136" spans="2:12" s="11" customFormat="1" x14ac:dyDescent="0.2">
      <c r="B136" s="11" t="s">
        <v>370</v>
      </c>
      <c r="D136" s="16"/>
      <c r="E136" s="58">
        <f>+E135*C117</f>
        <v>0.83333330000000005</v>
      </c>
      <c r="F136" s="11" t="s">
        <v>382</v>
      </c>
      <c r="H136" s="55">
        <v>2</v>
      </c>
      <c r="I136" s="16">
        <f>D143</f>
        <v>0</v>
      </c>
    </row>
    <row r="137" spans="2:12" s="11" customFormat="1" x14ac:dyDescent="0.2">
      <c r="B137" s="11" t="s">
        <v>371</v>
      </c>
      <c r="D137" s="16"/>
      <c r="E137" s="11">
        <f>-E135+(E136/C119)</f>
        <v>2.2222221333333341</v>
      </c>
      <c r="F137" s="59" t="s">
        <v>383</v>
      </c>
      <c r="H137" s="55">
        <v>3</v>
      </c>
      <c r="I137" s="16">
        <f>I136*(1.1)</f>
        <v>0</v>
      </c>
    </row>
    <row r="138" spans="2:12" s="11" customFormat="1" x14ac:dyDescent="0.2"/>
    <row r="139" spans="2:12" s="11" customFormat="1" x14ac:dyDescent="0.2">
      <c r="B139" s="11" t="s">
        <v>381</v>
      </c>
      <c r="H139" s="11" t="s">
        <v>372</v>
      </c>
    </row>
    <row r="140" spans="2:12" s="11" customFormat="1" x14ac:dyDescent="0.2"/>
    <row r="141" spans="2:12" s="11" customFormat="1" x14ac:dyDescent="0.2">
      <c r="B141" s="11" t="s">
        <v>369</v>
      </c>
      <c r="D141" s="16"/>
      <c r="E141" s="11">
        <f>+C118*(C120+E136)</f>
        <v>3.6666665199999997</v>
      </c>
    </row>
    <row r="142" spans="2:12" s="11" customFormat="1" x14ac:dyDescent="0.2">
      <c r="B142" s="11" t="s">
        <v>370</v>
      </c>
      <c r="D142" s="16"/>
      <c r="E142" s="11">
        <f>+E141*C117</f>
        <v>0.91666662999999993</v>
      </c>
    </row>
    <row r="143" spans="2:12" s="11" customFormat="1" x14ac:dyDescent="0.2">
      <c r="B143" s="11" t="s">
        <v>371</v>
      </c>
      <c r="D143" s="16"/>
      <c r="E143" s="11">
        <f>-E141+(E142/C119)</f>
        <v>2.4444443466666668</v>
      </c>
      <c r="K143" s="11" t="s">
        <v>373</v>
      </c>
      <c r="L143" s="11">
        <f>I135/(C119-F117)</f>
        <v>0</v>
      </c>
    </row>
    <row r="144" spans="2:12" s="11" customFormat="1" x14ac:dyDescent="0.2"/>
    <row r="145" s="11" customFormat="1" x14ac:dyDescent="0.2"/>
    <row r="146" s="11" customFormat="1" x14ac:dyDescent="0.2"/>
    <row r="147" s="11" customFormat="1" x14ac:dyDescent="0.2"/>
    <row r="148" s="11" customFormat="1" x14ac:dyDescent="0.2"/>
    <row r="149" s="11" customFormat="1" x14ac:dyDescent="0.2"/>
    <row r="150" s="11" customFormat="1" x14ac:dyDescent="0.2"/>
    <row r="151" s="11" customFormat="1" x14ac:dyDescent="0.2"/>
    <row r="152" s="11" customFormat="1" x14ac:dyDescent="0.2"/>
    <row r="153" s="11" customFormat="1" x14ac:dyDescent="0.2"/>
    <row r="154" s="11" customFormat="1" x14ac:dyDescent="0.2"/>
    <row r="155" s="11" customFormat="1" x14ac:dyDescent="0.2"/>
    <row r="156" s="11" customFormat="1" x14ac:dyDescent="0.2"/>
    <row r="157" s="11" customFormat="1" x14ac:dyDescent="0.2"/>
    <row r="158" s="11" customFormat="1" x14ac:dyDescent="0.2"/>
    <row r="159" s="11" customFormat="1" x14ac:dyDescent="0.2"/>
    <row r="160" s="11" customFormat="1" x14ac:dyDescent="0.2"/>
    <row r="161" spans="2:13" s="11" customFormat="1" x14ac:dyDescent="0.2"/>
    <row r="162" spans="2:13" s="24" customFormat="1" ht="39" customHeight="1" x14ac:dyDescent="0.2"/>
    <row r="163" spans="2:13" s="11" customFormat="1" x14ac:dyDescent="0.2"/>
    <row r="164" spans="2:13" s="11" customFormat="1" ht="20" x14ac:dyDescent="0.2">
      <c r="B164" s="10" t="s">
        <v>384</v>
      </c>
    </row>
    <row r="165" spans="2:13" s="11" customFormat="1" x14ac:dyDescent="0.2"/>
    <row r="166" spans="2:13" s="11" customFormat="1" x14ac:dyDescent="0.2">
      <c r="B166" s="11" t="s">
        <v>327</v>
      </c>
    </row>
    <row r="167" spans="2:13" s="11" customFormat="1" x14ac:dyDescent="0.2">
      <c r="B167" s="11" t="s">
        <v>385</v>
      </c>
    </row>
    <row r="168" spans="2:13" s="11" customFormat="1" x14ac:dyDescent="0.2">
      <c r="B168" s="11" t="s">
        <v>329</v>
      </c>
    </row>
    <row r="169" spans="2:13" s="11" customFormat="1" x14ac:dyDescent="0.2">
      <c r="B169" s="11" t="s">
        <v>77</v>
      </c>
    </row>
    <row r="170" spans="2:13" s="11" customFormat="1" x14ac:dyDescent="0.2"/>
    <row r="171" spans="2:13" s="11" customFormat="1" x14ac:dyDescent="0.2">
      <c r="C171" s="14" t="s">
        <v>330</v>
      </c>
      <c r="F171" s="11">
        <v>5.5</v>
      </c>
      <c r="I171" s="11" t="s">
        <v>332</v>
      </c>
    </row>
    <row r="172" spans="2:13" s="11" customFormat="1" x14ac:dyDescent="0.2">
      <c r="F172" s="11">
        <v>6.05</v>
      </c>
      <c r="H172" s="23" t="s">
        <v>334</v>
      </c>
    </row>
    <row r="173" spans="2:13" s="11" customFormat="1" x14ac:dyDescent="0.2">
      <c r="F173" s="11">
        <v>6.6550000000000002</v>
      </c>
      <c r="I173" s="13" t="s">
        <v>336</v>
      </c>
      <c r="J173" s="13"/>
      <c r="K173" s="13"/>
      <c r="L173" s="13"/>
      <c r="M173" s="13"/>
    </row>
    <row r="174" spans="2:13" s="11" customFormat="1" x14ac:dyDescent="0.2">
      <c r="F174" s="22"/>
    </row>
    <row r="175" spans="2:13" s="11" customFormat="1" x14ac:dyDescent="0.2">
      <c r="I175" s="14" t="s">
        <v>339</v>
      </c>
    </row>
    <row r="176" spans="2:13" s="11" customFormat="1" x14ac:dyDescent="0.2">
      <c r="D176" s="11" t="s">
        <v>386</v>
      </c>
      <c r="F176" s="22">
        <v>0.15</v>
      </c>
      <c r="G176" s="11" t="s">
        <v>388</v>
      </c>
    </row>
    <row r="177" spans="1:17" s="11" customFormat="1" x14ac:dyDescent="0.2">
      <c r="F177" s="22"/>
      <c r="P177"/>
    </row>
    <row r="178" spans="1:17" s="11" customFormat="1" x14ac:dyDescent="0.2">
      <c r="O178" s="11" t="s">
        <v>342</v>
      </c>
      <c r="P178"/>
    </row>
    <row r="179" spans="1:17" s="11" customFormat="1" x14ac:dyDescent="0.2">
      <c r="C179" s="14" t="s">
        <v>343</v>
      </c>
      <c r="F179" s="11">
        <v>6.9877500000000001</v>
      </c>
      <c r="H179" s="14" t="s">
        <v>345</v>
      </c>
      <c r="O179"/>
    </row>
    <row r="180" spans="1:17" s="11" customFormat="1" x14ac:dyDescent="0.2">
      <c r="C180" s="14"/>
      <c r="D180" s="11" t="s">
        <v>344</v>
      </c>
      <c r="F180" s="31">
        <v>0.05</v>
      </c>
      <c r="H180" s="46"/>
      <c r="I180" s="47"/>
      <c r="J180" s="47"/>
      <c r="K180" s="47"/>
      <c r="L180" s="47"/>
      <c r="M180" s="48"/>
      <c r="P180" s="11" t="s">
        <v>347</v>
      </c>
    </row>
    <row r="181" spans="1:17" s="11" customFormat="1" x14ac:dyDescent="0.2">
      <c r="C181" s="14"/>
      <c r="H181" s="49"/>
      <c r="I181" s="50"/>
      <c r="J181" s="50"/>
      <c r="K181" s="50"/>
      <c r="L181" s="50"/>
      <c r="M181" s="51"/>
    </row>
    <row r="182" spans="1:17" s="11" customFormat="1" x14ac:dyDescent="0.2">
      <c r="C182" s="14"/>
      <c r="H182" s="49"/>
      <c r="I182" s="50"/>
      <c r="J182" s="50"/>
      <c r="K182" s="50"/>
      <c r="L182" s="50"/>
      <c r="M182" s="51"/>
      <c r="P182" s="11" t="s">
        <v>349</v>
      </c>
    </row>
    <row r="183" spans="1:17" s="11" customFormat="1" x14ac:dyDescent="0.2">
      <c r="H183" s="49"/>
      <c r="I183" s="50"/>
      <c r="J183" s="50"/>
      <c r="K183" s="50"/>
      <c r="L183" s="50"/>
      <c r="M183" s="51"/>
    </row>
    <row r="184" spans="1:17" s="11" customFormat="1" x14ac:dyDescent="0.2">
      <c r="H184" s="52"/>
      <c r="I184" s="53"/>
      <c r="J184" s="53"/>
      <c r="K184" s="53"/>
      <c r="L184" s="53"/>
      <c r="M184" s="54"/>
      <c r="P184" s="11" t="s">
        <v>350</v>
      </c>
    </row>
    <row r="185" spans="1:17" s="11" customFormat="1" x14ac:dyDescent="0.2"/>
    <row r="186" spans="1:17" s="11" customFormat="1" x14ac:dyDescent="0.2"/>
    <row r="187" spans="1:17" s="11" customFormat="1" x14ac:dyDescent="0.2">
      <c r="A187" s="24"/>
      <c r="B187" s="25" t="s">
        <v>332</v>
      </c>
      <c r="C187" s="24"/>
      <c r="D187" s="24"/>
      <c r="E187" s="24"/>
      <c r="F187" s="24"/>
      <c r="G187" s="24"/>
      <c r="H187" s="24"/>
      <c r="I187" s="24"/>
      <c r="J187" s="24"/>
      <c r="K187" s="24"/>
      <c r="L187" s="24"/>
      <c r="M187" s="24"/>
      <c r="N187" s="24"/>
      <c r="O187" s="24"/>
      <c r="P187" s="24"/>
      <c r="Q187" s="24"/>
    </row>
    <row r="188" spans="1:17" s="11" customFormat="1" x14ac:dyDescent="0.2">
      <c r="A188" s="24"/>
      <c r="B188" s="24"/>
      <c r="C188" s="24"/>
      <c r="D188" s="24"/>
      <c r="E188" s="24"/>
      <c r="F188" s="24"/>
      <c r="G188" s="24"/>
      <c r="H188" s="24"/>
      <c r="I188" s="24"/>
      <c r="J188" s="24"/>
      <c r="K188" s="24"/>
      <c r="L188" s="24"/>
      <c r="M188" s="24"/>
      <c r="N188" s="24"/>
      <c r="O188" s="24"/>
      <c r="P188" s="24"/>
      <c r="Q188" s="24"/>
    </row>
    <row r="189" spans="1:17" s="11" customFormat="1" x14ac:dyDescent="0.2">
      <c r="A189" s="24"/>
      <c r="B189" s="24"/>
      <c r="C189" s="24"/>
      <c r="D189" s="24"/>
      <c r="E189" s="24"/>
      <c r="F189" s="24"/>
      <c r="G189" s="24"/>
      <c r="H189" s="24"/>
      <c r="I189" s="24"/>
      <c r="J189" s="24"/>
      <c r="K189" s="24"/>
      <c r="L189" s="24"/>
      <c r="M189" s="24"/>
      <c r="N189" s="24"/>
      <c r="O189" s="24"/>
      <c r="P189" s="24"/>
      <c r="Q189" s="24"/>
    </row>
    <row r="190" spans="1:17" s="11" customFormat="1" x14ac:dyDescent="0.2">
      <c r="A190" s="24"/>
      <c r="B190" s="24"/>
      <c r="C190" s="24">
        <f>+F171</f>
        <v>5.5</v>
      </c>
      <c r="D190" s="24"/>
      <c r="E190" s="24">
        <v>1</v>
      </c>
      <c r="F190" s="24">
        <f>+C190/(1+$F$176)^E190</f>
        <v>4.7826086956521747</v>
      </c>
      <c r="G190" s="24"/>
      <c r="H190" s="24"/>
      <c r="I190" s="24"/>
      <c r="J190" s="24"/>
      <c r="K190" s="24"/>
      <c r="L190" s="24"/>
      <c r="M190" s="24"/>
      <c r="N190" s="24"/>
      <c r="O190" s="24"/>
      <c r="P190" s="24"/>
      <c r="Q190" s="24"/>
    </row>
    <row r="191" spans="1:17" s="11" customFormat="1" x14ac:dyDescent="0.2">
      <c r="A191" s="24"/>
      <c r="B191" s="24"/>
      <c r="C191" s="24">
        <f t="shared" ref="C191:C192" si="0">+F172</f>
        <v>6.05</v>
      </c>
      <c r="D191" s="24"/>
      <c r="E191" s="24">
        <v>2</v>
      </c>
      <c r="F191" s="24">
        <f t="shared" ref="F191:F192" si="1">+C191/(1+$F$176)^E191</f>
        <v>4.5746691871455587</v>
      </c>
      <c r="G191" s="24"/>
      <c r="H191" s="24"/>
      <c r="I191" s="24"/>
      <c r="J191" s="24"/>
      <c r="K191" s="24"/>
      <c r="L191" s="24"/>
      <c r="M191" s="24"/>
      <c r="N191" s="24"/>
      <c r="O191" s="24"/>
      <c r="P191" s="24"/>
      <c r="Q191" s="24"/>
    </row>
    <row r="192" spans="1:17" s="11" customFormat="1" x14ac:dyDescent="0.2">
      <c r="A192" s="24"/>
      <c r="B192" s="24"/>
      <c r="C192" s="24">
        <f t="shared" si="0"/>
        <v>6.6550000000000002</v>
      </c>
      <c r="D192" s="24"/>
      <c r="E192" s="24">
        <v>3</v>
      </c>
      <c r="F192" s="24">
        <f t="shared" si="1"/>
        <v>4.3757705268348825</v>
      </c>
      <c r="G192" s="24"/>
      <c r="H192" s="24"/>
      <c r="I192" s="24"/>
      <c r="J192" s="24"/>
      <c r="K192" s="24"/>
      <c r="L192" s="24"/>
      <c r="M192" s="24"/>
      <c r="N192" s="24"/>
      <c r="O192" s="24"/>
      <c r="P192" s="24"/>
      <c r="Q192" s="24"/>
    </row>
    <row r="193" spans="1:17" s="11" customFormat="1" x14ac:dyDescent="0.2">
      <c r="A193" s="24"/>
      <c r="B193" s="24"/>
      <c r="C193" s="24"/>
      <c r="D193" s="24"/>
      <c r="E193" s="24"/>
      <c r="F193" s="24"/>
      <c r="G193" s="24"/>
      <c r="H193" s="24"/>
      <c r="I193" s="24"/>
      <c r="J193" s="24"/>
      <c r="K193" s="24"/>
      <c r="L193" s="24"/>
      <c r="M193" s="24"/>
      <c r="N193" s="24"/>
      <c r="O193" s="24"/>
      <c r="P193" s="24"/>
      <c r="Q193" s="24"/>
    </row>
    <row r="194" spans="1:17" s="11" customFormat="1" x14ac:dyDescent="0.2">
      <c r="A194" s="24"/>
      <c r="B194" s="60" t="s">
        <v>387</v>
      </c>
      <c r="C194" s="24"/>
      <c r="D194" s="24"/>
      <c r="E194" s="24"/>
      <c r="F194" s="24">
        <f>+SUM(F190:F192)</f>
        <v>13.733048409632616</v>
      </c>
      <c r="G194" s="24"/>
      <c r="H194" s="24"/>
      <c r="I194" s="24"/>
      <c r="J194" s="24"/>
      <c r="K194" s="24"/>
      <c r="L194" s="24"/>
      <c r="M194" s="24"/>
      <c r="N194" s="24"/>
      <c r="O194" s="24"/>
      <c r="P194" s="24"/>
      <c r="Q194" s="24"/>
    </row>
    <row r="195" spans="1:17" s="11" customFormat="1" x14ac:dyDescent="0.2">
      <c r="A195" s="24"/>
      <c r="B195" s="24"/>
      <c r="C195" s="24"/>
      <c r="D195" s="24"/>
      <c r="E195" s="24"/>
      <c r="F195" s="24"/>
      <c r="G195" s="24"/>
      <c r="H195" s="24"/>
      <c r="I195" s="24"/>
      <c r="J195" s="24"/>
      <c r="K195" s="24"/>
      <c r="L195" s="24"/>
      <c r="M195" s="24"/>
      <c r="N195" s="24"/>
      <c r="O195" s="24"/>
      <c r="P195" s="24"/>
      <c r="Q195" s="24"/>
    </row>
    <row r="196" spans="1:17" s="11" customFormat="1" x14ac:dyDescent="0.2">
      <c r="A196" s="24"/>
      <c r="B196" s="24"/>
      <c r="C196" s="24"/>
      <c r="D196" s="24"/>
      <c r="E196" s="24"/>
      <c r="F196" s="24"/>
      <c r="G196" s="24"/>
      <c r="H196" s="24"/>
      <c r="I196" s="24"/>
      <c r="J196" s="24"/>
      <c r="K196" s="24"/>
      <c r="L196" s="24"/>
      <c r="M196" s="24"/>
      <c r="N196" s="24"/>
      <c r="O196" s="24"/>
      <c r="P196" s="24"/>
      <c r="Q196" s="24"/>
    </row>
    <row r="197" spans="1:17" s="11" customFormat="1" x14ac:dyDescent="0.2">
      <c r="A197" s="24"/>
      <c r="B197" s="24"/>
      <c r="C197" s="24"/>
      <c r="D197" s="24"/>
      <c r="E197" s="24"/>
      <c r="F197" s="24"/>
      <c r="G197" s="24"/>
      <c r="H197" s="24"/>
      <c r="I197" s="24"/>
      <c r="J197" s="24"/>
      <c r="K197" s="24"/>
      <c r="L197" s="24"/>
      <c r="M197" s="24"/>
      <c r="N197" s="24"/>
      <c r="O197" s="24"/>
      <c r="P197" s="24"/>
      <c r="Q197" s="24"/>
    </row>
    <row r="198" spans="1:17" s="11" customFormat="1" x14ac:dyDescent="0.2">
      <c r="A198" s="24"/>
      <c r="B198" s="24"/>
      <c r="C198" s="24"/>
      <c r="D198" s="24"/>
      <c r="E198" s="24"/>
      <c r="F198" s="24"/>
      <c r="G198" s="24"/>
      <c r="H198" s="24"/>
      <c r="I198" s="24"/>
      <c r="J198" s="24"/>
      <c r="K198" s="24"/>
      <c r="L198" s="24"/>
      <c r="M198" s="24"/>
      <c r="N198" s="24"/>
      <c r="O198" s="24"/>
      <c r="P198" s="24"/>
      <c r="Q198" s="24"/>
    </row>
    <row r="199" spans="1:17" s="11" customFormat="1" x14ac:dyDescent="0.2">
      <c r="A199" s="24"/>
      <c r="B199" s="24"/>
      <c r="C199" s="24"/>
      <c r="D199" s="24"/>
      <c r="E199" s="24"/>
      <c r="F199" s="24"/>
      <c r="G199" s="24"/>
      <c r="H199" s="24"/>
      <c r="I199" s="24"/>
      <c r="J199" s="24"/>
      <c r="K199" s="24"/>
      <c r="L199" s="24"/>
      <c r="M199" s="24"/>
      <c r="N199" s="24"/>
      <c r="O199" s="24"/>
      <c r="P199" s="24"/>
      <c r="Q199" s="24"/>
    </row>
    <row r="200" spans="1:17" s="11" customFormat="1" x14ac:dyDescent="0.2"/>
    <row r="201" spans="1:17" s="11" customFormat="1" x14ac:dyDescent="0.2">
      <c r="A201" s="24"/>
      <c r="B201" s="25" t="s">
        <v>336</v>
      </c>
      <c r="C201" s="24"/>
      <c r="D201" s="24"/>
      <c r="E201" s="24"/>
      <c r="F201" s="24"/>
      <c r="G201" s="24"/>
      <c r="H201" s="24"/>
      <c r="I201" s="24"/>
      <c r="J201" s="24"/>
      <c r="K201" s="24"/>
      <c r="L201" s="24"/>
      <c r="M201" s="24"/>
      <c r="N201" s="24"/>
      <c r="O201" s="24"/>
      <c r="P201" s="24"/>
      <c r="Q201" s="24"/>
    </row>
    <row r="202" spans="1:17" s="11" customFormat="1" x14ac:dyDescent="0.2">
      <c r="A202" s="24"/>
      <c r="B202" s="24"/>
      <c r="C202" s="24"/>
      <c r="D202" s="24"/>
      <c r="E202" s="24"/>
      <c r="F202" s="24"/>
      <c r="G202" s="24"/>
      <c r="H202" s="24"/>
      <c r="I202" s="24"/>
      <c r="J202" s="24"/>
      <c r="K202" s="24"/>
      <c r="L202" s="24"/>
      <c r="M202" s="24"/>
      <c r="N202" s="24"/>
      <c r="O202" s="24"/>
      <c r="P202" s="24"/>
      <c r="Q202" s="24"/>
    </row>
    <row r="203" spans="1:17" s="11" customFormat="1" x14ac:dyDescent="0.2">
      <c r="A203" s="24"/>
      <c r="B203" s="24"/>
      <c r="C203" s="28">
        <f>F180</f>
        <v>0.05</v>
      </c>
      <c r="D203" s="24"/>
      <c r="E203" s="24"/>
      <c r="F203" s="24"/>
      <c r="G203" s="24"/>
      <c r="H203" s="24"/>
      <c r="I203" s="24"/>
      <c r="J203" s="24"/>
      <c r="K203" s="24"/>
      <c r="L203" s="24"/>
      <c r="M203" s="24"/>
      <c r="N203" s="24"/>
      <c r="O203" s="24"/>
      <c r="P203" s="24"/>
      <c r="Q203" s="24"/>
    </row>
    <row r="204" spans="1:17" s="11" customFormat="1" x14ac:dyDescent="0.2">
      <c r="A204" s="24"/>
      <c r="B204" s="24"/>
      <c r="C204" s="24"/>
      <c r="D204" s="24"/>
      <c r="E204" s="24"/>
      <c r="F204" s="24"/>
      <c r="G204" s="24"/>
      <c r="H204" s="24"/>
      <c r="I204" s="24"/>
      <c r="J204" s="24"/>
      <c r="K204" s="24"/>
      <c r="L204" s="24"/>
      <c r="M204" s="24"/>
      <c r="N204" s="24"/>
      <c r="O204" s="24"/>
      <c r="P204" s="24"/>
      <c r="Q204" s="24"/>
    </row>
    <row r="205" spans="1:17" s="11" customFormat="1" x14ac:dyDescent="0.2">
      <c r="A205" s="24"/>
      <c r="B205" s="24"/>
      <c r="C205" s="24"/>
      <c r="D205" s="24"/>
      <c r="E205" s="24"/>
      <c r="F205" s="24"/>
      <c r="G205" s="24"/>
      <c r="H205" s="24"/>
      <c r="I205" s="24"/>
      <c r="J205" s="24"/>
      <c r="K205" s="24"/>
      <c r="L205" s="24"/>
      <c r="M205" s="24"/>
      <c r="N205" s="24"/>
      <c r="O205" s="24"/>
      <c r="P205" s="24"/>
      <c r="Q205" s="24"/>
    </row>
    <row r="206" spans="1:17" s="11" customFormat="1" x14ac:dyDescent="0.2">
      <c r="A206" s="24"/>
      <c r="B206" s="24"/>
      <c r="C206" s="24"/>
      <c r="D206" s="24"/>
      <c r="E206" s="24"/>
      <c r="F206" s="24"/>
      <c r="G206" s="24"/>
      <c r="H206" s="24"/>
      <c r="I206" s="24"/>
      <c r="J206" s="24" t="s">
        <v>373</v>
      </c>
      <c r="K206" s="24"/>
      <c r="L206" s="24"/>
      <c r="M206" s="24"/>
      <c r="N206" s="24"/>
      <c r="O206" s="24"/>
      <c r="P206" s="24"/>
      <c r="Q206" s="24"/>
    </row>
    <row r="207" spans="1:17" s="11" customFormat="1" x14ac:dyDescent="0.2">
      <c r="A207" s="24"/>
      <c r="B207" s="24">
        <f>+F179/(F176-C203)</f>
        <v>69.877500000000012</v>
      </c>
      <c r="C207" s="24"/>
      <c r="D207" s="24"/>
      <c r="E207" s="24"/>
      <c r="F207" s="24">
        <f>+B207/(1+F176)^3</f>
        <v>45.945590531766278</v>
      </c>
      <c r="G207" s="24"/>
      <c r="H207" s="24"/>
      <c r="I207" s="24"/>
      <c r="J207" s="24"/>
      <c r="K207" s="24"/>
      <c r="L207" s="24"/>
      <c r="M207" s="24"/>
      <c r="N207" s="24"/>
      <c r="O207" s="24"/>
      <c r="P207" s="24"/>
      <c r="Q207" s="24"/>
    </row>
    <row r="208" spans="1:17" s="11" customFormat="1" x14ac:dyDescent="0.2">
      <c r="A208" s="24"/>
      <c r="B208" s="24"/>
      <c r="C208" s="24"/>
      <c r="D208" s="24"/>
      <c r="E208" s="24"/>
      <c r="F208" s="24"/>
      <c r="G208" s="24"/>
      <c r="H208" s="24"/>
      <c r="I208" s="24"/>
      <c r="J208" s="24"/>
      <c r="K208" s="24"/>
      <c r="L208" s="24"/>
      <c r="M208" s="24"/>
      <c r="N208" s="24"/>
      <c r="O208" s="24"/>
      <c r="P208" s="24"/>
      <c r="Q208" s="24"/>
    </row>
    <row r="209" spans="1:17" s="11" customFormat="1" x14ac:dyDescent="0.2">
      <c r="A209" s="24"/>
      <c r="B209" s="24"/>
      <c r="C209" s="24"/>
      <c r="D209" s="24"/>
      <c r="E209" s="24"/>
      <c r="F209" s="24"/>
      <c r="G209" s="24"/>
      <c r="H209" s="24"/>
      <c r="I209" s="24"/>
      <c r="J209" s="24"/>
      <c r="K209" s="24"/>
      <c r="L209" s="24"/>
      <c r="M209" s="24"/>
      <c r="N209" s="24"/>
      <c r="O209" s="24"/>
      <c r="P209" s="24"/>
      <c r="Q209" s="24"/>
    </row>
    <row r="210" spans="1:17" s="11" customFormat="1" x14ac:dyDescent="0.2">
      <c r="A210" s="24"/>
      <c r="B210" s="24"/>
      <c r="C210" s="24"/>
      <c r="D210" s="24"/>
      <c r="E210" s="24"/>
      <c r="F210" s="24"/>
      <c r="G210" s="24"/>
      <c r="H210" s="24"/>
      <c r="I210" s="24"/>
      <c r="J210" s="24"/>
      <c r="K210" s="24"/>
      <c r="L210" s="24"/>
      <c r="M210" s="24"/>
      <c r="N210" s="24"/>
      <c r="O210" s="24"/>
      <c r="P210" s="24"/>
      <c r="Q210" s="24"/>
    </row>
    <row r="211" spans="1:17" s="11" customFormat="1" x14ac:dyDescent="0.2"/>
    <row r="212" spans="1:17" s="11" customFormat="1" x14ac:dyDescent="0.2">
      <c r="A212" s="24"/>
      <c r="B212" s="25" t="s">
        <v>351</v>
      </c>
      <c r="C212" s="24"/>
      <c r="D212" s="24"/>
      <c r="E212" s="24"/>
      <c r="F212" s="24"/>
      <c r="G212" s="24"/>
      <c r="H212" s="24"/>
      <c r="I212" s="24"/>
      <c r="J212" s="24"/>
      <c r="K212" s="24"/>
      <c r="L212" s="24"/>
      <c r="M212" s="24"/>
      <c r="N212" s="24"/>
      <c r="O212" s="24"/>
      <c r="P212" s="24"/>
      <c r="Q212" s="24"/>
    </row>
    <row r="213" spans="1:17" s="11" customFormat="1" x14ac:dyDescent="0.2">
      <c r="A213" s="24"/>
      <c r="B213" s="24"/>
      <c r="C213" s="24"/>
      <c r="D213" s="24"/>
      <c r="E213" s="24"/>
      <c r="F213" s="24"/>
      <c r="G213" s="24"/>
      <c r="H213" s="24"/>
      <c r="I213" s="24"/>
      <c r="J213" s="24"/>
      <c r="K213" s="24"/>
      <c r="L213" s="24"/>
      <c r="M213" s="24"/>
      <c r="N213" s="24"/>
      <c r="O213" s="24"/>
      <c r="P213" s="24"/>
      <c r="Q213" s="24"/>
    </row>
    <row r="214" spans="1:17" s="11" customFormat="1" x14ac:dyDescent="0.2">
      <c r="A214" s="24"/>
      <c r="B214" s="24"/>
      <c r="C214" s="28"/>
      <c r="D214" s="24"/>
      <c r="E214" s="24" t="s">
        <v>373</v>
      </c>
      <c r="F214" s="29">
        <f>+F207+F194</f>
        <v>59.678638941398894</v>
      </c>
      <c r="G214" s="24"/>
      <c r="H214" s="24"/>
      <c r="I214" s="24"/>
      <c r="J214" s="24"/>
      <c r="K214" s="24"/>
      <c r="L214" s="24"/>
      <c r="M214" s="24"/>
      <c r="N214" s="24"/>
      <c r="O214" s="24"/>
      <c r="P214" s="24"/>
      <c r="Q214" s="24"/>
    </row>
    <row r="215" spans="1:17" s="11" customFormat="1" x14ac:dyDescent="0.2">
      <c r="A215" s="24"/>
      <c r="B215" s="24"/>
      <c r="C215" s="24"/>
      <c r="D215" s="24"/>
      <c r="E215" s="24"/>
      <c r="F215" s="24"/>
      <c r="G215" s="24"/>
      <c r="H215" s="24"/>
      <c r="I215" s="24"/>
      <c r="J215" s="24"/>
      <c r="K215" s="24"/>
      <c r="L215" s="24"/>
      <c r="M215" s="24"/>
      <c r="N215" s="24"/>
      <c r="O215" s="24"/>
      <c r="P215" s="24"/>
      <c r="Q215" s="24"/>
    </row>
    <row r="216" spans="1:17" s="11" customFormat="1" x14ac:dyDescent="0.2">
      <c r="A216" s="24"/>
      <c r="B216" s="24"/>
      <c r="C216" s="24"/>
      <c r="D216" s="24"/>
      <c r="E216" s="24"/>
      <c r="F216" s="24"/>
      <c r="G216" s="24"/>
      <c r="H216" s="24"/>
      <c r="I216" s="24"/>
      <c r="J216" s="24"/>
      <c r="K216" s="24"/>
      <c r="L216" s="24"/>
      <c r="M216" s="24"/>
      <c r="N216" s="24"/>
      <c r="O216" s="24"/>
      <c r="P216" s="24"/>
      <c r="Q216" s="24"/>
    </row>
    <row r="217" spans="1:17" s="11" customFormat="1" x14ac:dyDescent="0.2">
      <c r="A217" s="24"/>
      <c r="B217" s="24"/>
      <c r="C217" s="24"/>
      <c r="D217" s="24"/>
      <c r="E217" s="24"/>
      <c r="F217" s="24"/>
      <c r="G217" s="24"/>
      <c r="H217" s="24"/>
      <c r="I217" s="24"/>
      <c r="J217" s="24"/>
      <c r="K217" s="24"/>
      <c r="L217" s="24"/>
      <c r="M217" s="24"/>
      <c r="N217" s="24"/>
      <c r="O217" s="24"/>
      <c r="P217" s="24"/>
      <c r="Q217" s="24"/>
    </row>
    <row r="218" spans="1:17" s="11" customFormat="1" x14ac:dyDescent="0.2">
      <c r="A218" s="24"/>
      <c r="B218" s="24"/>
      <c r="C218" s="24"/>
      <c r="D218" s="24"/>
      <c r="E218" s="24"/>
      <c r="F218" s="24"/>
      <c r="G218" s="24"/>
      <c r="H218" s="24"/>
      <c r="I218" s="24"/>
      <c r="J218" s="24"/>
      <c r="K218" s="24"/>
      <c r="L218" s="24"/>
      <c r="M218" s="24"/>
      <c r="N218" s="24"/>
      <c r="O218" s="24"/>
      <c r="P218" s="24"/>
      <c r="Q218" s="24"/>
    </row>
    <row r="219" spans="1:17" s="11" customFormat="1" x14ac:dyDescent="0.2">
      <c r="A219" s="24"/>
      <c r="B219" s="24"/>
      <c r="C219" s="24"/>
      <c r="D219" s="24"/>
      <c r="E219" s="24"/>
      <c r="F219" s="24"/>
      <c r="G219" s="24"/>
      <c r="H219" s="24"/>
      <c r="I219" s="24"/>
      <c r="J219" s="24"/>
      <c r="K219" s="24"/>
      <c r="L219" s="24"/>
      <c r="M219" s="24"/>
      <c r="N219" s="24"/>
      <c r="O219" s="24"/>
      <c r="P219" s="24"/>
      <c r="Q219" s="24"/>
    </row>
    <row r="220" spans="1:17" s="11" customFormat="1" x14ac:dyDescent="0.2">
      <c r="A220" s="24"/>
      <c r="B220" s="24"/>
      <c r="C220" s="24"/>
      <c r="D220" s="24"/>
      <c r="E220" s="24"/>
      <c r="F220" s="24"/>
      <c r="G220" s="24"/>
      <c r="H220" s="24"/>
      <c r="I220" s="24"/>
      <c r="J220" s="24"/>
      <c r="K220" s="24"/>
      <c r="L220" s="24"/>
      <c r="M220" s="24"/>
      <c r="N220" s="24"/>
      <c r="O220" s="24"/>
      <c r="P220" s="24"/>
      <c r="Q220" s="24"/>
    </row>
    <row r="221" spans="1:17" s="11" customFormat="1" x14ac:dyDescent="0.2">
      <c r="A221" s="24"/>
      <c r="B221" s="24"/>
      <c r="C221" s="24"/>
      <c r="D221" s="24"/>
      <c r="E221" s="24"/>
      <c r="F221" s="24"/>
      <c r="G221" s="24"/>
      <c r="H221" s="24"/>
      <c r="I221" s="24"/>
      <c r="J221" s="24"/>
      <c r="K221" s="24"/>
      <c r="L221" s="24"/>
      <c r="M221" s="24"/>
      <c r="N221" s="24"/>
      <c r="O221" s="24"/>
      <c r="P221" s="24"/>
      <c r="Q221" s="24"/>
    </row>
    <row r="222" spans="1:17" s="11" customFormat="1" x14ac:dyDescent="0.2">
      <c r="A222" s="24"/>
      <c r="B222" s="24"/>
      <c r="C222" s="24"/>
      <c r="D222" s="24"/>
      <c r="E222" s="24"/>
      <c r="F222" s="24"/>
      <c r="G222" s="24"/>
      <c r="H222" s="24"/>
      <c r="I222" s="24"/>
      <c r="J222" s="24"/>
      <c r="K222" s="24"/>
      <c r="L222" s="24"/>
      <c r="M222" s="24"/>
      <c r="N222" s="24"/>
      <c r="O222" s="24"/>
      <c r="P222" s="24"/>
      <c r="Q222" s="24"/>
    </row>
    <row r="223" spans="1:17" s="11" customFormat="1" x14ac:dyDescent="0.2">
      <c r="A223" s="24"/>
      <c r="B223" s="24"/>
      <c r="C223" s="24"/>
      <c r="D223" s="24"/>
      <c r="E223" s="24"/>
      <c r="F223" s="24"/>
      <c r="G223" s="24"/>
      <c r="H223" s="24"/>
      <c r="I223" s="24"/>
      <c r="J223" s="24"/>
      <c r="K223" s="24"/>
      <c r="L223" s="24"/>
      <c r="M223" s="24"/>
      <c r="N223" s="24"/>
      <c r="O223" s="24"/>
      <c r="P223" s="24"/>
      <c r="Q223" s="24"/>
    </row>
    <row r="224" spans="1:17" s="11" customFormat="1" x14ac:dyDescent="0.2">
      <c r="A224" s="24"/>
      <c r="B224" s="24"/>
      <c r="C224" s="24"/>
      <c r="D224" s="24"/>
      <c r="E224" s="24"/>
      <c r="F224" s="24"/>
      <c r="G224" s="24"/>
      <c r="H224" s="24"/>
      <c r="I224" s="24"/>
      <c r="J224" s="24"/>
      <c r="K224" s="24"/>
      <c r="L224" s="24"/>
      <c r="M224" s="24"/>
      <c r="N224" s="24"/>
      <c r="O224" s="24"/>
      <c r="P224" s="24"/>
      <c r="Q224" s="24"/>
    </row>
    <row r="225" spans="1:17" s="11" customFormat="1" x14ac:dyDescent="0.2">
      <c r="A225" s="24"/>
      <c r="B225" s="24"/>
      <c r="C225" s="24"/>
      <c r="D225" s="24"/>
      <c r="E225" s="24"/>
      <c r="F225" s="24"/>
      <c r="G225" s="24"/>
      <c r="H225" s="24"/>
      <c r="I225" s="24"/>
      <c r="J225" s="24"/>
      <c r="K225" s="24"/>
      <c r="L225" s="24"/>
      <c r="M225" s="24"/>
      <c r="N225" s="24"/>
      <c r="O225" s="24"/>
      <c r="P225" s="24"/>
      <c r="Q225" s="24"/>
    </row>
    <row r="226" spans="1:17" s="11" customFormat="1" x14ac:dyDescent="0.2">
      <c r="A226" s="24"/>
      <c r="B226" s="24"/>
      <c r="C226" s="24"/>
      <c r="D226" s="24"/>
      <c r="E226" s="24"/>
      <c r="F226" s="24"/>
      <c r="G226" s="24"/>
      <c r="H226" s="24"/>
      <c r="I226" s="24"/>
      <c r="J226" s="24"/>
      <c r="K226" s="24"/>
      <c r="L226" s="24"/>
      <c r="M226" s="24"/>
      <c r="N226" s="24"/>
      <c r="O226" s="24"/>
      <c r="P226" s="24"/>
      <c r="Q226" s="24"/>
    </row>
    <row r="227" spans="1:17" s="11" customFormat="1" x14ac:dyDescent="0.2"/>
    <row r="237" spans="1:17" x14ac:dyDescent="0.2">
      <c r="K237" t="s">
        <v>389</v>
      </c>
    </row>
    <row r="238" spans="1:17" x14ac:dyDescent="0.2">
      <c r="K238" t="s">
        <v>390</v>
      </c>
    </row>
    <row r="239" spans="1:17" x14ac:dyDescent="0.2">
      <c r="K239" t="s">
        <v>391</v>
      </c>
    </row>
    <row r="240" spans="1:17" x14ac:dyDescent="0.2">
      <c r="K240" t="s">
        <v>392</v>
      </c>
    </row>
    <row r="263" spans="2:13" s="11" customFormat="1" ht="20" x14ac:dyDescent="0.2">
      <c r="B263" s="10" t="s">
        <v>326</v>
      </c>
    </row>
    <row r="264" spans="2:13" s="11" customFormat="1" x14ac:dyDescent="0.2"/>
    <row r="265" spans="2:13" s="11" customFormat="1" x14ac:dyDescent="0.2">
      <c r="B265" s="11" t="s">
        <v>327</v>
      </c>
    </row>
    <row r="266" spans="2:13" s="11" customFormat="1" x14ac:dyDescent="0.2">
      <c r="B266" s="11" t="s">
        <v>328</v>
      </c>
    </row>
    <row r="267" spans="2:13" s="11" customFormat="1" x14ac:dyDescent="0.2">
      <c r="B267" s="11" t="s">
        <v>329</v>
      </c>
    </row>
    <row r="268" spans="2:13" s="11" customFormat="1" x14ac:dyDescent="0.2">
      <c r="B268" s="11" t="s">
        <v>77</v>
      </c>
    </row>
    <row r="269" spans="2:13" s="11" customFormat="1" x14ac:dyDescent="0.2"/>
    <row r="270" spans="2:13" s="11" customFormat="1" x14ac:dyDescent="0.2">
      <c r="C270" s="14" t="s">
        <v>330</v>
      </c>
      <c r="D270" s="11" t="s">
        <v>331</v>
      </c>
      <c r="F270" s="11">
        <v>0.9</v>
      </c>
      <c r="I270" s="11" t="s">
        <v>332</v>
      </c>
    </row>
    <row r="271" spans="2:13" s="11" customFormat="1" x14ac:dyDescent="0.2">
      <c r="D271" s="11" t="s">
        <v>333</v>
      </c>
      <c r="F271" s="11">
        <v>2.7</v>
      </c>
      <c r="H271" s="23" t="s">
        <v>334</v>
      </c>
    </row>
    <row r="272" spans="2:13" s="11" customFormat="1" x14ac:dyDescent="0.2">
      <c r="D272" s="11" t="s">
        <v>335</v>
      </c>
      <c r="F272" s="11">
        <f>0.125+(0.125-0.085*(1-0.36))</f>
        <v>0.1956</v>
      </c>
      <c r="I272" s="13" t="s">
        <v>336</v>
      </c>
      <c r="J272" s="13"/>
      <c r="K272" s="13"/>
      <c r="L272" s="13"/>
      <c r="M272" s="13"/>
    </row>
    <row r="273" spans="1:17" s="11" customFormat="1" x14ac:dyDescent="0.2">
      <c r="D273" s="11" t="s">
        <v>337</v>
      </c>
      <c r="F273" s="22">
        <v>0.33329999999999999</v>
      </c>
      <c r="G273" s="22">
        <f>1-F273</f>
        <v>0.66670000000000007</v>
      </c>
    </row>
    <row r="274" spans="1:17" s="11" customFormat="1" x14ac:dyDescent="0.2">
      <c r="D274" s="61" t="s">
        <v>338</v>
      </c>
      <c r="E274" s="61"/>
      <c r="F274" s="61">
        <v>1.45</v>
      </c>
      <c r="I274" s="14" t="s">
        <v>339</v>
      </c>
    </row>
    <row r="275" spans="1:17" s="11" customFormat="1" x14ac:dyDescent="0.2">
      <c r="D275" s="61" t="s">
        <v>340</v>
      </c>
      <c r="E275" s="61"/>
      <c r="F275" s="62">
        <f>F276+5.5%</f>
        <v>0.13</v>
      </c>
    </row>
    <row r="276" spans="1:17" s="11" customFormat="1" x14ac:dyDescent="0.2">
      <c r="D276" s="61" t="s">
        <v>341</v>
      </c>
      <c r="E276" s="61"/>
      <c r="F276" s="62">
        <v>7.4999999999999997E-2</v>
      </c>
      <c r="P276"/>
    </row>
    <row r="277" spans="1:17" s="11" customFormat="1" x14ac:dyDescent="0.2">
      <c r="O277" s="11" t="s">
        <v>342</v>
      </c>
      <c r="P277"/>
    </row>
    <row r="278" spans="1:17" s="11" customFormat="1" x14ac:dyDescent="0.2">
      <c r="C278" s="14" t="s">
        <v>343</v>
      </c>
      <c r="D278" s="11" t="s">
        <v>344</v>
      </c>
      <c r="F278" s="31">
        <v>0.06</v>
      </c>
      <c r="H278" s="14" t="s">
        <v>345</v>
      </c>
      <c r="O278"/>
    </row>
    <row r="279" spans="1:17" s="11" customFormat="1" x14ac:dyDescent="0.2">
      <c r="C279" s="14"/>
      <c r="D279" s="11" t="s">
        <v>346</v>
      </c>
      <c r="F279" s="11">
        <v>1.1000000000000001</v>
      </c>
      <c r="H279" s="46"/>
      <c r="I279" s="47"/>
      <c r="J279" s="47"/>
      <c r="K279" s="47"/>
      <c r="L279" s="47"/>
      <c r="M279" s="48"/>
      <c r="P279" s="11" t="s">
        <v>347</v>
      </c>
    </row>
    <row r="280" spans="1:17" s="11" customFormat="1" x14ac:dyDescent="0.2">
      <c r="C280" s="14"/>
      <c r="D280" s="11" t="s">
        <v>348</v>
      </c>
      <c r="F280" s="11">
        <v>0.69330000000000003</v>
      </c>
      <c r="H280" s="49"/>
      <c r="I280" s="50"/>
      <c r="J280" s="50"/>
      <c r="K280" s="50"/>
      <c r="L280" s="50"/>
      <c r="M280" s="51"/>
    </row>
    <row r="281" spans="1:17" s="11" customFormat="1" x14ac:dyDescent="0.2">
      <c r="C281" s="14"/>
      <c r="H281" s="49"/>
      <c r="I281" s="50"/>
      <c r="J281" s="50"/>
      <c r="K281" s="50"/>
      <c r="L281" s="50"/>
      <c r="M281" s="51"/>
      <c r="P281" s="11" t="s">
        <v>349</v>
      </c>
    </row>
    <row r="282" spans="1:17" s="11" customFormat="1" x14ac:dyDescent="0.2">
      <c r="H282" s="49"/>
      <c r="I282" s="50"/>
      <c r="J282" s="50"/>
      <c r="K282" s="50"/>
      <c r="L282" s="50"/>
      <c r="M282" s="51"/>
    </row>
    <row r="283" spans="1:17" s="11" customFormat="1" x14ac:dyDescent="0.2">
      <c r="H283" s="52"/>
      <c r="I283" s="53"/>
      <c r="J283" s="53"/>
      <c r="K283" s="53"/>
      <c r="L283" s="53"/>
      <c r="M283" s="54"/>
      <c r="P283" s="11" t="s">
        <v>350</v>
      </c>
    </row>
    <row r="284" spans="1:17" s="11" customFormat="1" x14ac:dyDescent="0.2"/>
    <row r="285" spans="1:17" s="11" customFormat="1" x14ac:dyDescent="0.2"/>
    <row r="286" spans="1:17" s="11" customFormat="1" x14ac:dyDescent="0.2">
      <c r="A286" s="24"/>
      <c r="B286" s="25" t="s">
        <v>332</v>
      </c>
      <c r="C286" s="24"/>
      <c r="D286" s="24"/>
      <c r="E286" s="24"/>
      <c r="F286" s="24"/>
      <c r="G286" s="24"/>
      <c r="H286" s="24"/>
      <c r="I286" s="24"/>
      <c r="J286" s="24"/>
      <c r="K286" s="24"/>
      <c r="L286" s="24"/>
      <c r="M286" s="24"/>
      <c r="N286" s="24"/>
      <c r="O286" s="24"/>
      <c r="P286" s="24"/>
      <c r="Q286" s="24"/>
    </row>
    <row r="287" spans="1:17" s="11" customFormat="1" x14ac:dyDescent="0.2">
      <c r="A287" s="24"/>
      <c r="B287" s="24"/>
      <c r="C287" s="24"/>
      <c r="D287" s="24"/>
      <c r="E287" s="24"/>
      <c r="F287" s="24"/>
      <c r="G287" s="24"/>
      <c r="H287" s="24"/>
      <c r="I287" s="24"/>
      <c r="J287" s="24"/>
      <c r="K287" s="24"/>
      <c r="L287" s="24"/>
      <c r="M287" s="24"/>
      <c r="N287" s="24"/>
      <c r="O287" s="24"/>
      <c r="P287" s="24"/>
      <c r="Q287" s="24"/>
    </row>
    <row r="288" spans="1:17" s="11" customFormat="1" x14ac:dyDescent="0.2">
      <c r="A288" s="24"/>
      <c r="B288" s="24"/>
      <c r="C288" s="24">
        <f>F272*(1-F273)</f>
        <v>0.13040652</v>
      </c>
      <c r="D288" s="24">
        <f>+F272*G273</f>
        <v>0.13040652</v>
      </c>
      <c r="E288" s="24"/>
      <c r="F288" s="24"/>
      <c r="G288" s="24"/>
      <c r="H288" s="24"/>
      <c r="I288" s="24"/>
      <c r="J288" s="24"/>
      <c r="K288" s="24"/>
      <c r="L288" s="24"/>
      <c r="M288" s="24"/>
      <c r="N288" s="24"/>
      <c r="O288" s="24"/>
      <c r="P288" s="24"/>
      <c r="Q288" s="24"/>
    </row>
    <row r="289" spans="1:17" s="11" customFormat="1" x14ac:dyDescent="0.2">
      <c r="A289" s="24"/>
      <c r="B289" s="24"/>
      <c r="C289" s="24"/>
      <c r="D289" s="24"/>
      <c r="E289" s="24"/>
      <c r="F289" s="24"/>
      <c r="G289" s="24"/>
      <c r="H289" s="24">
        <f>+F270*(1+D288)</f>
        <v>1.017365868</v>
      </c>
      <c r="I289" s="24"/>
      <c r="J289" s="24"/>
      <c r="K289" s="24"/>
      <c r="L289" s="24"/>
      <c r="M289" s="24"/>
      <c r="N289" s="24"/>
      <c r="O289" s="24"/>
      <c r="P289" s="24"/>
      <c r="Q289" s="24"/>
    </row>
    <row r="290" spans="1:17" s="11" customFormat="1" x14ac:dyDescent="0.2">
      <c r="A290" s="24"/>
      <c r="B290" s="24"/>
      <c r="C290" s="11">
        <f>+F276+F274*(F275-F276)</f>
        <v>0.15475</v>
      </c>
      <c r="D290" s="24"/>
      <c r="E290" s="24"/>
      <c r="F290" s="24"/>
      <c r="G290" s="24"/>
      <c r="H290" s="24">
        <f>+C290-C288</f>
        <v>2.4343480000000001E-2</v>
      </c>
      <c r="I290" s="24"/>
      <c r="J290" s="24"/>
      <c r="K290" s="24"/>
      <c r="L290" s="24"/>
      <c r="M290" s="24"/>
      <c r="N290" s="24"/>
      <c r="O290" s="24"/>
      <c r="P290" s="24"/>
      <c r="Q290" s="24"/>
    </row>
    <row r="291" spans="1:17" s="11" customFormat="1" x14ac:dyDescent="0.2">
      <c r="A291" s="24"/>
      <c r="B291" s="24"/>
      <c r="C291" s="24"/>
      <c r="D291" s="24"/>
      <c r="E291" s="24"/>
      <c r="F291" s="24"/>
      <c r="G291" s="24"/>
      <c r="H291" s="24">
        <f>1+C288</f>
        <v>1.13040652</v>
      </c>
      <c r="I291" s="24"/>
      <c r="J291" s="24"/>
      <c r="K291" s="24"/>
      <c r="L291" s="24"/>
      <c r="M291" s="24"/>
      <c r="N291" s="24"/>
      <c r="O291" s="24"/>
      <c r="P291" s="24"/>
      <c r="Q291" s="24"/>
    </row>
    <row r="292" spans="1:17" s="11" customFormat="1" x14ac:dyDescent="0.2">
      <c r="A292" s="24"/>
      <c r="B292" s="24"/>
      <c r="C292" s="24"/>
      <c r="D292" s="24"/>
      <c r="E292" s="24"/>
      <c r="F292" s="24"/>
      <c r="G292" s="24"/>
      <c r="H292" s="24">
        <f>1+C290</f>
        <v>1.1547499999999999</v>
      </c>
      <c r="I292" s="24"/>
      <c r="J292" s="24"/>
      <c r="K292" s="24"/>
      <c r="L292" s="24"/>
      <c r="M292" s="24"/>
      <c r="N292" s="24"/>
      <c r="O292" s="24"/>
      <c r="P292" s="24"/>
      <c r="Q292" s="24"/>
    </row>
    <row r="293" spans="1:17" s="11" customFormat="1" x14ac:dyDescent="0.2">
      <c r="A293" s="24"/>
      <c r="B293" s="24"/>
      <c r="C293" s="24"/>
      <c r="D293" s="24"/>
      <c r="E293" s="24"/>
      <c r="F293" s="24"/>
      <c r="G293" s="24"/>
      <c r="H293" s="24">
        <f>+(H291/H292)^5</f>
        <v>0.89894560681833491</v>
      </c>
      <c r="I293" s="24"/>
      <c r="J293" s="24"/>
      <c r="K293" s="24"/>
      <c r="L293" s="24"/>
      <c r="M293" s="24"/>
      <c r="N293" s="24"/>
      <c r="O293" s="24"/>
      <c r="P293" s="24"/>
      <c r="Q293" s="24"/>
    </row>
    <row r="294" spans="1:17" s="11" customFormat="1" x14ac:dyDescent="0.2">
      <c r="A294" s="24"/>
      <c r="B294" s="24"/>
      <c r="C294" s="24"/>
      <c r="D294" s="24"/>
      <c r="E294" s="24"/>
      <c r="F294" s="24"/>
      <c r="G294" s="24"/>
      <c r="H294" s="24">
        <f>1-H293</f>
        <v>0.10105439318166509</v>
      </c>
      <c r="I294" s="24"/>
      <c r="J294" s="24"/>
      <c r="K294" s="24"/>
      <c r="L294" s="24"/>
      <c r="M294" s="24"/>
      <c r="N294" s="24"/>
      <c r="O294" s="24"/>
      <c r="P294" s="24"/>
      <c r="Q294" s="24"/>
    </row>
    <row r="295" spans="1:17" s="11" customFormat="1" x14ac:dyDescent="0.2">
      <c r="A295" s="24"/>
      <c r="B295" s="24"/>
      <c r="C295" s="24"/>
      <c r="D295" s="24"/>
      <c r="E295" s="24"/>
      <c r="F295" s="24"/>
      <c r="G295" s="24"/>
      <c r="H295" s="24">
        <f>+H294*H289/H290</f>
        <v>4.2232782837325633</v>
      </c>
      <c r="I295" s="24"/>
      <c r="J295" s="24"/>
      <c r="K295" s="24"/>
      <c r="L295" s="24"/>
      <c r="M295" s="24"/>
      <c r="N295" s="24"/>
      <c r="O295" s="24"/>
      <c r="P295" s="24"/>
      <c r="Q295" s="24"/>
    </row>
    <row r="296" spans="1:17" s="11" customFormat="1" x14ac:dyDescent="0.2">
      <c r="A296" s="24"/>
      <c r="B296" s="24"/>
      <c r="C296" s="24"/>
      <c r="D296" s="24"/>
      <c r="E296" s="24"/>
      <c r="F296" s="24"/>
      <c r="G296" s="24"/>
      <c r="H296" s="24"/>
      <c r="I296" s="24"/>
      <c r="J296" s="24"/>
      <c r="K296" s="24"/>
      <c r="L296" s="24"/>
      <c r="M296" s="24"/>
      <c r="N296" s="24"/>
      <c r="O296" s="24"/>
      <c r="P296" s="24"/>
      <c r="Q296" s="24"/>
    </row>
    <row r="297" spans="1:17" s="11" customFormat="1" x14ac:dyDescent="0.2">
      <c r="A297" s="24"/>
      <c r="B297" s="24"/>
      <c r="C297" s="24"/>
      <c r="D297" s="24"/>
      <c r="E297" s="24"/>
      <c r="F297" s="24"/>
      <c r="G297" s="24"/>
      <c r="H297" s="24"/>
      <c r="I297" s="24"/>
      <c r="J297" s="24"/>
      <c r="K297" s="24"/>
      <c r="L297" s="24"/>
      <c r="M297" s="24"/>
      <c r="N297" s="24"/>
      <c r="O297" s="24"/>
      <c r="P297" s="24"/>
      <c r="Q297" s="24"/>
    </row>
    <row r="298" spans="1:17" s="11" customFormat="1" x14ac:dyDescent="0.2"/>
    <row r="299" spans="1:17" s="11" customFormat="1" x14ac:dyDescent="0.2">
      <c r="A299" s="24"/>
      <c r="B299" s="25" t="s">
        <v>336</v>
      </c>
      <c r="C299" s="24"/>
      <c r="D299" s="24"/>
      <c r="E299" s="24"/>
      <c r="F299" s="24"/>
      <c r="G299" s="24"/>
      <c r="H299" s="24"/>
      <c r="I299" s="24"/>
      <c r="J299" s="24"/>
      <c r="K299" s="24"/>
      <c r="L299" s="24"/>
      <c r="M299" s="24"/>
      <c r="N299" s="24"/>
      <c r="O299" s="24"/>
      <c r="P299" s="24"/>
      <c r="Q299" s="24"/>
    </row>
    <row r="300" spans="1:17" s="11" customFormat="1" x14ac:dyDescent="0.2">
      <c r="A300" s="24"/>
      <c r="B300" s="24"/>
      <c r="C300" s="24"/>
      <c r="D300" s="24"/>
      <c r="E300" s="24"/>
      <c r="F300" s="24"/>
      <c r="G300" s="24"/>
      <c r="H300" s="24"/>
      <c r="I300" s="24"/>
      <c r="J300" s="24"/>
      <c r="K300" s="24"/>
      <c r="L300" s="24"/>
      <c r="M300" s="24"/>
      <c r="N300" s="24"/>
      <c r="O300" s="24"/>
      <c r="P300" s="24"/>
      <c r="Q300" s="24"/>
    </row>
    <row r="301" spans="1:17" s="11" customFormat="1" x14ac:dyDescent="0.2">
      <c r="A301" s="24"/>
      <c r="B301" s="24"/>
      <c r="C301" s="28">
        <f>F278</f>
        <v>0.06</v>
      </c>
      <c r="D301" s="24"/>
      <c r="E301" s="24"/>
      <c r="F301" s="24"/>
      <c r="G301" s="24"/>
      <c r="H301" s="24"/>
      <c r="I301" s="24"/>
      <c r="J301" s="24"/>
      <c r="K301" s="24"/>
      <c r="L301" s="24"/>
      <c r="M301" s="24"/>
      <c r="N301" s="24"/>
      <c r="O301" s="24"/>
      <c r="P301" s="24"/>
      <c r="Q301" s="24"/>
    </row>
    <row r="302" spans="1:17" s="11" customFormat="1" x14ac:dyDescent="0.2">
      <c r="A302" s="24"/>
      <c r="B302" s="24"/>
      <c r="C302" s="24"/>
      <c r="D302" s="24"/>
      <c r="E302" s="24"/>
      <c r="F302" s="24"/>
      <c r="G302" s="24"/>
      <c r="H302" s="24"/>
      <c r="I302" s="24"/>
      <c r="J302" s="24"/>
      <c r="K302" s="24"/>
      <c r="L302" s="24"/>
      <c r="M302" s="24"/>
      <c r="N302" s="24"/>
      <c r="O302" s="24"/>
      <c r="P302" s="24"/>
      <c r="Q302" s="24"/>
    </row>
    <row r="303" spans="1:17" s="11" customFormat="1" x14ac:dyDescent="0.2">
      <c r="A303" s="24"/>
      <c r="B303" s="24"/>
      <c r="C303" s="24">
        <f>F276+F279*(F275-F276)</f>
        <v>0.13550000000000001</v>
      </c>
      <c r="D303" s="24"/>
      <c r="E303" s="24">
        <f>+F276+F279*(F275-F276)</f>
        <v>0.13550000000000001</v>
      </c>
      <c r="F303" s="24"/>
      <c r="G303" s="24"/>
      <c r="H303" s="24"/>
      <c r="I303" s="24"/>
      <c r="J303" s="24"/>
      <c r="K303" s="24"/>
      <c r="L303" s="24"/>
      <c r="M303" s="24"/>
      <c r="N303" s="24"/>
      <c r="O303" s="24"/>
      <c r="P303" s="24"/>
      <c r="Q303" s="24"/>
    </row>
    <row r="304" spans="1:17" s="11" customFormat="1" x14ac:dyDescent="0.2">
      <c r="A304" s="24"/>
      <c r="B304" s="24"/>
      <c r="C304" s="24"/>
      <c r="D304" s="24"/>
      <c r="E304" s="24"/>
      <c r="F304" s="24"/>
      <c r="G304" s="24"/>
      <c r="H304" s="24"/>
      <c r="I304" s="24"/>
      <c r="J304" s="24"/>
      <c r="K304" s="24"/>
      <c r="L304" s="24"/>
      <c r="M304" s="24"/>
      <c r="N304" s="24"/>
      <c r="O304" s="24"/>
      <c r="P304" s="24"/>
      <c r="Q304" s="24"/>
    </row>
    <row r="305" spans="1:17" s="11" customFormat="1" x14ac:dyDescent="0.2">
      <c r="A305" s="24"/>
      <c r="B305" s="24"/>
      <c r="C305" s="24"/>
      <c r="D305" s="24"/>
      <c r="E305" s="24">
        <f>+F271*(1+D288)^5*(1+C301)</f>
        <v>5.282541266168054</v>
      </c>
      <c r="F305" s="24"/>
      <c r="G305" s="24"/>
      <c r="H305" s="24"/>
      <c r="I305" s="24"/>
      <c r="J305" s="24"/>
      <c r="K305" s="24"/>
      <c r="L305" s="24"/>
      <c r="M305" s="24"/>
      <c r="N305" s="24"/>
      <c r="O305" s="24"/>
      <c r="P305" s="24"/>
      <c r="Q305" s="24"/>
    </row>
    <row r="306" spans="1:17" s="11" customFormat="1" x14ac:dyDescent="0.2">
      <c r="A306" s="24"/>
      <c r="B306" s="24"/>
      <c r="C306" s="24"/>
      <c r="D306" s="24"/>
      <c r="E306" s="24"/>
      <c r="F306" s="24"/>
      <c r="G306" s="24"/>
      <c r="H306" s="24"/>
      <c r="I306" s="24"/>
      <c r="J306" s="24"/>
      <c r="K306" s="24"/>
      <c r="L306" s="24"/>
      <c r="M306" s="24"/>
      <c r="N306" s="24"/>
      <c r="O306" s="24"/>
      <c r="P306" s="24"/>
      <c r="Q306" s="24"/>
    </row>
    <row r="307" spans="1:17" s="11" customFormat="1" x14ac:dyDescent="0.2">
      <c r="A307" s="24"/>
      <c r="B307" s="24"/>
      <c r="C307" s="24"/>
      <c r="D307" s="24"/>
      <c r="E307" s="24">
        <f>+E305*F280</f>
        <v>3.6623858598343118</v>
      </c>
      <c r="F307" s="24"/>
      <c r="G307" s="24"/>
      <c r="H307" s="24"/>
      <c r="I307" s="24"/>
      <c r="J307" s="24"/>
      <c r="K307" s="24"/>
      <c r="L307" s="24"/>
      <c r="M307" s="24"/>
      <c r="N307" s="24"/>
      <c r="O307" s="24"/>
      <c r="P307" s="24"/>
      <c r="Q307" s="24"/>
    </row>
    <row r="308" spans="1:17" s="11" customFormat="1" x14ac:dyDescent="0.2">
      <c r="A308" s="24"/>
      <c r="B308" s="24"/>
      <c r="C308" s="24"/>
      <c r="D308" s="24"/>
      <c r="E308" s="24"/>
      <c r="F308" s="24"/>
      <c r="G308" s="24"/>
      <c r="H308" s="24"/>
      <c r="I308" s="24"/>
      <c r="J308" s="24"/>
      <c r="K308" s="24"/>
      <c r="L308" s="24"/>
      <c r="M308" s="24"/>
      <c r="N308" s="24"/>
      <c r="O308" s="24"/>
      <c r="P308" s="24"/>
      <c r="Q308" s="24"/>
    </row>
    <row r="309" spans="1:17" s="11" customFormat="1" x14ac:dyDescent="0.2">
      <c r="A309" s="24"/>
      <c r="B309" s="24"/>
      <c r="C309" s="24">
        <f>+E307/(C303-C301)</f>
        <v>48.508421984560414</v>
      </c>
      <c r="D309" s="24"/>
      <c r="E309" s="24"/>
      <c r="F309" s="24">
        <f>+C309/(1+C290)^5</f>
        <v>23.625297842528045</v>
      </c>
      <c r="G309" s="24"/>
      <c r="H309" s="24"/>
      <c r="I309" s="24"/>
      <c r="J309" s="24"/>
      <c r="K309" s="24"/>
      <c r="L309" s="24"/>
      <c r="M309" s="24"/>
      <c r="N309" s="24"/>
      <c r="O309" s="24"/>
      <c r="P309" s="24"/>
      <c r="Q309" s="24"/>
    </row>
    <row r="310" spans="1:17" s="11" customFormat="1" x14ac:dyDescent="0.2">
      <c r="A310" s="24"/>
      <c r="B310" s="24"/>
      <c r="C310" s="24"/>
      <c r="D310" s="24"/>
      <c r="E310" s="24"/>
      <c r="F310" s="24"/>
      <c r="G310" s="24"/>
      <c r="H310" s="24"/>
      <c r="I310" s="24"/>
      <c r="J310" s="24"/>
      <c r="K310" s="24"/>
      <c r="L310" s="24"/>
      <c r="M310" s="24"/>
      <c r="N310" s="24"/>
      <c r="O310" s="24"/>
      <c r="P310" s="24"/>
      <c r="Q310" s="24"/>
    </row>
    <row r="311" spans="1:17" s="11" customFormat="1" x14ac:dyDescent="0.2">
      <c r="A311" s="24"/>
      <c r="B311" s="24"/>
      <c r="C311" s="24"/>
      <c r="D311" s="24"/>
      <c r="E311" s="24"/>
      <c r="F311" s="24"/>
      <c r="G311" s="24"/>
      <c r="H311" s="24"/>
      <c r="I311" s="24"/>
      <c r="J311" s="24"/>
      <c r="K311" s="24"/>
      <c r="L311" s="24"/>
      <c r="M311" s="24"/>
      <c r="N311" s="24"/>
      <c r="O311" s="24"/>
      <c r="P311" s="24"/>
      <c r="Q311" s="24"/>
    </row>
    <row r="312" spans="1:17" s="11" customFormat="1" x14ac:dyDescent="0.2">
      <c r="A312" s="24"/>
      <c r="B312" s="24"/>
      <c r="C312" s="24"/>
      <c r="D312" s="24"/>
      <c r="E312" s="24"/>
      <c r="F312" s="24"/>
      <c r="G312" s="24"/>
      <c r="H312" s="24"/>
      <c r="I312" s="24"/>
      <c r="J312" s="24"/>
      <c r="K312" s="24"/>
      <c r="L312" s="24"/>
      <c r="M312" s="24"/>
      <c r="N312" s="24"/>
      <c r="O312" s="24"/>
      <c r="P312" s="24"/>
      <c r="Q312" s="24"/>
    </row>
    <row r="313" spans="1:17" s="11" customFormat="1" x14ac:dyDescent="0.2">
      <c r="A313" s="24"/>
      <c r="B313" s="24"/>
      <c r="C313" s="24"/>
      <c r="D313" s="24"/>
      <c r="E313" s="24"/>
      <c r="F313" s="24"/>
      <c r="G313" s="24"/>
      <c r="H313" s="24"/>
      <c r="I313" s="24"/>
      <c r="J313" s="24"/>
      <c r="K313" s="24"/>
      <c r="L313" s="24"/>
      <c r="M313" s="24"/>
      <c r="N313" s="24"/>
      <c r="O313" s="24"/>
      <c r="P313" s="24"/>
      <c r="Q313" s="24"/>
    </row>
    <row r="314" spans="1:17" s="11" customFormat="1" x14ac:dyDescent="0.2"/>
    <row r="315" spans="1:17" s="11" customFormat="1" x14ac:dyDescent="0.2">
      <c r="A315" s="24"/>
      <c r="B315" s="25" t="s">
        <v>351</v>
      </c>
      <c r="C315" s="24"/>
      <c r="D315" s="24"/>
      <c r="E315" s="24"/>
      <c r="F315" s="24"/>
      <c r="G315" s="24"/>
      <c r="H315" s="24"/>
      <c r="I315" s="24"/>
      <c r="J315" s="24"/>
      <c r="K315" s="24"/>
      <c r="L315" s="24"/>
      <c r="M315" s="24"/>
      <c r="N315" s="24"/>
      <c r="O315" s="24"/>
      <c r="P315" s="24"/>
      <c r="Q315" s="24"/>
    </row>
    <row r="316" spans="1:17" s="11" customFormat="1" x14ac:dyDescent="0.2">
      <c r="A316" s="24"/>
      <c r="B316" s="24"/>
      <c r="C316" s="24"/>
      <c r="D316" s="24"/>
      <c r="E316" s="24"/>
      <c r="F316" s="24"/>
      <c r="G316" s="24"/>
      <c r="H316" s="24"/>
      <c r="I316" s="24"/>
      <c r="J316" s="24"/>
      <c r="K316" s="24"/>
      <c r="L316" s="24"/>
      <c r="M316" s="24"/>
      <c r="N316" s="24"/>
      <c r="O316" s="24"/>
      <c r="P316" s="24"/>
      <c r="Q316" s="24"/>
    </row>
    <row r="317" spans="1:17" s="11" customFormat="1" x14ac:dyDescent="0.2">
      <c r="A317" s="24"/>
      <c r="B317" s="24"/>
      <c r="C317" s="28"/>
      <c r="D317" s="24"/>
      <c r="E317" s="24"/>
      <c r="F317" s="24"/>
      <c r="G317" s="24"/>
      <c r="H317" s="24"/>
      <c r="I317" s="24"/>
      <c r="J317" s="24"/>
      <c r="K317" s="24"/>
      <c r="L317" s="24"/>
      <c r="M317" s="24"/>
      <c r="N317" s="24"/>
      <c r="O317" s="24"/>
      <c r="P317" s="24"/>
      <c r="Q317" s="24"/>
    </row>
    <row r="318" spans="1:17" s="11" customFormat="1" x14ac:dyDescent="0.2">
      <c r="A318" s="24"/>
      <c r="B318" s="24"/>
      <c r="C318" s="24"/>
      <c r="D318" s="24"/>
      <c r="E318" s="24"/>
      <c r="F318" s="24"/>
      <c r="G318" s="24"/>
      <c r="H318" s="24"/>
      <c r="I318" s="24"/>
      <c r="J318" s="24"/>
      <c r="K318" s="24"/>
      <c r="L318" s="24"/>
      <c r="M318" s="24"/>
      <c r="N318" s="24"/>
      <c r="O318" s="24"/>
      <c r="P318" s="24"/>
      <c r="Q318" s="24"/>
    </row>
    <row r="319" spans="1:17" s="11" customFormat="1" x14ac:dyDescent="0.2">
      <c r="A319" s="24"/>
      <c r="B319" s="24"/>
      <c r="C319" s="24"/>
      <c r="D319" s="24"/>
      <c r="E319" s="24"/>
      <c r="F319" s="24"/>
      <c r="G319" s="24"/>
      <c r="H319" s="24"/>
      <c r="I319" s="24"/>
      <c r="J319" s="24"/>
      <c r="K319" s="24"/>
      <c r="L319" s="24"/>
      <c r="M319" s="24"/>
      <c r="N319" s="24"/>
      <c r="O319" s="24"/>
      <c r="P319" s="24"/>
      <c r="Q319" s="24"/>
    </row>
    <row r="320" spans="1:17" s="11" customFormat="1" x14ac:dyDescent="0.2">
      <c r="A320" s="24"/>
      <c r="B320" s="24"/>
      <c r="C320" s="24"/>
      <c r="D320" s="24"/>
      <c r="E320" s="24"/>
      <c r="F320" s="24"/>
      <c r="G320" s="24"/>
      <c r="H320" s="24"/>
      <c r="I320" s="24"/>
      <c r="J320" s="24"/>
      <c r="K320" s="24"/>
      <c r="L320" s="24"/>
      <c r="M320" s="24"/>
      <c r="N320" s="24"/>
      <c r="O320" s="24"/>
      <c r="P320" s="24"/>
      <c r="Q320" s="24"/>
    </row>
    <row r="321" spans="1:17" s="11" customFormat="1" x14ac:dyDescent="0.2">
      <c r="A321" s="24"/>
      <c r="B321" s="24"/>
      <c r="C321" s="24"/>
      <c r="D321" s="24"/>
      <c r="E321" s="24"/>
      <c r="F321" s="24"/>
      <c r="G321" s="24"/>
      <c r="H321" s="24"/>
      <c r="I321" s="24"/>
      <c r="J321" s="24"/>
      <c r="K321" s="24"/>
      <c r="L321" s="24"/>
      <c r="M321" s="24"/>
      <c r="N321" s="24"/>
      <c r="O321" s="24"/>
      <c r="P321" s="24"/>
      <c r="Q321" s="24"/>
    </row>
    <row r="322" spans="1:17" s="11" customFormat="1" x14ac:dyDescent="0.2">
      <c r="A322" s="24"/>
      <c r="B322" s="24"/>
      <c r="C322" s="24"/>
      <c r="D322" s="24"/>
      <c r="E322" s="24"/>
      <c r="F322" s="24"/>
      <c r="G322" s="24"/>
      <c r="H322" s="24"/>
      <c r="I322" s="24"/>
      <c r="J322" s="24"/>
      <c r="K322" s="24"/>
      <c r="L322" s="24"/>
      <c r="M322" s="24"/>
      <c r="N322" s="24"/>
      <c r="O322" s="24"/>
      <c r="P322" s="24"/>
      <c r="Q322" s="24"/>
    </row>
    <row r="323" spans="1:17" s="11" customFormat="1" x14ac:dyDescent="0.2">
      <c r="A323" s="24"/>
      <c r="B323" s="24"/>
      <c r="C323" s="24"/>
      <c r="D323" s="24"/>
      <c r="E323" s="24"/>
      <c r="F323" s="24"/>
      <c r="G323" s="24"/>
      <c r="H323" s="24"/>
      <c r="I323" s="24"/>
      <c r="J323" s="24"/>
      <c r="K323" s="24"/>
      <c r="L323" s="24"/>
      <c r="M323" s="24"/>
      <c r="N323" s="24"/>
      <c r="O323" s="24"/>
      <c r="P323" s="24"/>
      <c r="Q323" s="24"/>
    </row>
    <row r="324" spans="1:17" s="11" customFormat="1" x14ac:dyDescent="0.2">
      <c r="A324" s="24"/>
      <c r="B324" s="24"/>
      <c r="C324" s="24"/>
      <c r="D324" s="24"/>
      <c r="E324" s="24"/>
      <c r="F324" s="24"/>
      <c r="G324" s="24"/>
      <c r="H324" s="24"/>
      <c r="I324" s="24"/>
      <c r="J324" s="24"/>
      <c r="K324" s="24"/>
      <c r="L324" s="24"/>
      <c r="M324" s="24"/>
      <c r="N324" s="24"/>
      <c r="O324" s="24"/>
      <c r="P324" s="24"/>
      <c r="Q324" s="24"/>
    </row>
    <row r="325" spans="1:17" s="11" customFormat="1" x14ac:dyDescent="0.2">
      <c r="A325" s="24"/>
      <c r="B325" s="24"/>
      <c r="C325" s="24"/>
      <c r="D325" s="24"/>
      <c r="E325" s="24"/>
      <c r="F325" s="24"/>
      <c r="G325" s="24"/>
      <c r="H325" s="24"/>
      <c r="I325" s="24"/>
      <c r="J325" s="24"/>
      <c r="K325" s="24"/>
      <c r="L325" s="24"/>
      <c r="M325" s="24"/>
      <c r="N325" s="24"/>
      <c r="O325" s="24"/>
      <c r="P325" s="24"/>
      <c r="Q325" s="24"/>
    </row>
    <row r="326" spans="1:17" s="11" customFormat="1" x14ac:dyDescent="0.2">
      <c r="A326" s="24"/>
      <c r="B326" s="24"/>
      <c r="C326" s="24"/>
      <c r="D326" s="24"/>
      <c r="E326" s="24"/>
      <c r="F326" s="24"/>
      <c r="G326" s="24"/>
      <c r="H326" s="24"/>
      <c r="I326" s="24"/>
      <c r="J326" s="24"/>
      <c r="K326" s="24"/>
      <c r="L326" s="24"/>
      <c r="M326" s="24"/>
      <c r="N326" s="24"/>
      <c r="O326" s="24"/>
      <c r="P326" s="24"/>
      <c r="Q326" s="24"/>
    </row>
    <row r="327" spans="1:17" s="11" customFormat="1" x14ac:dyDescent="0.2">
      <c r="A327" s="24"/>
      <c r="B327" s="24"/>
      <c r="C327" s="24"/>
      <c r="D327" s="24"/>
      <c r="E327" s="24"/>
      <c r="F327" s="24"/>
      <c r="G327" s="24"/>
      <c r="H327" s="24"/>
      <c r="I327" s="24"/>
      <c r="J327" s="24"/>
      <c r="K327" s="24"/>
      <c r="L327" s="24"/>
      <c r="M327" s="24"/>
      <c r="N327" s="24"/>
      <c r="O327" s="24"/>
      <c r="P327" s="24"/>
      <c r="Q327" s="24"/>
    </row>
    <row r="328" spans="1:17" s="11" customFormat="1" x14ac:dyDescent="0.2">
      <c r="A328" s="24"/>
      <c r="B328" s="24"/>
      <c r="C328" s="24"/>
      <c r="D328" s="24"/>
      <c r="E328" s="24"/>
      <c r="F328" s="24"/>
      <c r="G328" s="24"/>
      <c r="H328" s="24"/>
      <c r="I328" s="24"/>
      <c r="J328" s="24"/>
      <c r="K328" s="24"/>
      <c r="L328" s="24"/>
      <c r="M328" s="24"/>
      <c r="N328" s="24"/>
      <c r="O328" s="24"/>
      <c r="P328" s="24"/>
      <c r="Q328" s="24"/>
    </row>
    <row r="329" spans="1:17" s="11" customFormat="1" x14ac:dyDescent="0.2">
      <c r="A329" s="24"/>
      <c r="B329" s="24"/>
      <c r="C329" s="24"/>
      <c r="D329" s="24"/>
      <c r="E329" s="24"/>
      <c r="F329" s="24"/>
      <c r="G329" s="24"/>
      <c r="H329" s="24"/>
      <c r="I329" s="24"/>
      <c r="J329" s="24"/>
      <c r="K329" s="24"/>
      <c r="L329" s="24"/>
      <c r="M329" s="24"/>
      <c r="N329" s="24"/>
      <c r="O329" s="24"/>
      <c r="P329" s="24"/>
      <c r="Q329" s="24"/>
    </row>
    <row r="330" spans="1:17" s="11" customFormat="1" x14ac:dyDescent="0.2"/>
    <row r="331" spans="1:17" s="11" customFormat="1" x14ac:dyDescent="0.2"/>
    <row r="332" spans="1:17" s="11" customFormat="1" x14ac:dyDescent="0.2"/>
    <row r="333" spans="1:17" s="11" customFormat="1" x14ac:dyDescent="0.2"/>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6BAFB4-A3D2-4D41-A816-F79E0FDEA3B8}">
  <dimension ref="A2:O74"/>
  <sheetViews>
    <sheetView showGridLines="0" topLeftCell="A30" workbookViewId="0">
      <selection activeCell="D33" sqref="D33"/>
    </sheetView>
  </sheetViews>
  <sheetFormatPr baseColWidth="10" defaultRowHeight="16" x14ac:dyDescent="0.2"/>
  <sheetData>
    <row r="2" spans="2:13" s="11" customFormat="1" ht="20" x14ac:dyDescent="0.2">
      <c r="B2" s="10" t="s">
        <v>326</v>
      </c>
    </row>
    <row r="3" spans="2:13" s="11" customFormat="1" x14ac:dyDescent="0.2"/>
    <row r="4" spans="2:13" s="11" customFormat="1" x14ac:dyDescent="0.2">
      <c r="B4" s="11" t="s">
        <v>393</v>
      </c>
    </row>
    <row r="5" spans="2:13" s="11" customFormat="1" x14ac:dyDescent="0.2">
      <c r="B5" s="11" t="s">
        <v>328</v>
      </c>
    </row>
    <row r="6" spans="2:13" s="11" customFormat="1" x14ac:dyDescent="0.2">
      <c r="B6" s="11" t="s">
        <v>329</v>
      </c>
    </row>
    <row r="7" spans="2:13" s="11" customFormat="1" x14ac:dyDescent="0.2">
      <c r="B7" s="11" t="s">
        <v>77</v>
      </c>
    </row>
    <row r="8" spans="2:13" s="11" customFormat="1" x14ac:dyDescent="0.2"/>
    <row r="9" spans="2:13" s="11" customFormat="1" x14ac:dyDescent="0.2">
      <c r="D9" s="14" t="s">
        <v>394</v>
      </c>
      <c r="E9" s="14"/>
      <c r="F9" s="14"/>
      <c r="G9" s="14"/>
      <c r="J9" s="14" t="s">
        <v>395</v>
      </c>
    </row>
    <row r="10" spans="2:13" s="11" customFormat="1" x14ac:dyDescent="0.2">
      <c r="D10" s="14"/>
      <c r="E10" s="14"/>
      <c r="F10" s="14"/>
      <c r="G10" s="14"/>
    </row>
    <row r="11" spans="2:13" s="11" customFormat="1" x14ac:dyDescent="0.2">
      <c r="C11" s="14" t="s">
        <v>330</v>
      </c>
      <c r="D11" s="11" t="s">
        <v>331</v>
      </c>
      <c r="G11" s="11">
        <v>0.9</v>
      </c>
    </row>
    <row r="12" spans="2:13" s="11" customFormat="1" x14ac:dyDescent="0.2">
      <c r="D12" s="11" t="s">
        <v>333</v>
      </c>
      <c r="G12" s="11">
        <v>2.7</v>
      </c>
      <c r="J12" s="11" t="s">
        <v>396</v>
      </c>
      <c r="M12" s="11">
        <v>29.07</v>
      </c>
    </row>
    <row r="13" spans="2:13" s="11" customFormat="1" x14ac:dyDescent="0.2">
      <c r="D13" s="11" t="s">
        <v>335</v>
      </c>
      <c r="G13" s="11">
        <f>0.125+(0.125-0.085*(1-0.36))</f>
        <v>0.1956</v>
      </c>
      <c r="J13" s="11" t="s">
        <v>335</v>
      </c>
      <c r="M13" s="31">
        <v>0.15</v>
      </c>
    </row>
    <row r="14" spans="2:13" s="11" customFormat="1" x14ac:dyDescent="0.2">
      <c r="D14" s="11" t="s">
        <v>337</v>
      </c>
      <c r="G14" s="22">
        <v>0.33329999999999999</v>
      </c>
      <c r="J14" s="11" t="s">
        <v>337</v>
      </c>
      <c r="M14" s="31">
        <v>0.4</v>
      </c>
    </row>
    <row r="15" spans="2:13" s="11" customFormat="1" x14ac:dyDescent="0.2">
      <c r="D15" s="11" t="s">
        <v>338</v>
      </c>
      <c r="G15" s="11">
        <v>1.45</v>
      </c>
      <c r="J15" s="11" t="s">
        <v>338</v>
      </c>
      <c r="M15" s="11" t="s">
        <v>397</v>
      </c>
    </row>
    <row r="16" spans="2:13" s="11" customFormat="1" x14ac:dyDescent="0.2">
      <c r="D16" s="11" t="s">
        <v>340</v>
      </c>
      <c r="G16" s="22">
        <f>G17+5.5%</f>
        <v>0.13</v>
      </c>
      <c r="J16" s="11" t="s">
        <v>340</v>
      </c>
      <c r="M16" s="11" t="s">
        <v>397</v>
      </c>
    </row>
    <row r="17" spans="1:15" s="11" customFormat="1" x14ac:dyDescent="0.2">
      <c r="D17" s="11" t="s">
        <v>341</v>
      </c>
      <c r="G17" s="22">
        <v>7.4999999999999997E-2</v>
      </c>
      <c r="J17" s="11" t="s">
        <v>341</v>
      </c>
      <c r="M17" s="11" t="s">
        <v>397</v>
      </c>
    </row>
    <row r="18" spans="1:15" s="11" customFormat="1" x14ac:dyDescent="0.2"/>
    <row r="19" spans="1:15" s="11" customFormat="1" x14ac:dyDescent="0.2">
      <c r="C19" s="14" t="s">
        <v>343</v>
      </c>
      <c r="D19" s="11" t="s">
        <v>344</v>
      </c>
      <c r="G19" s="31">
        <v>0.06</v>
      </c>
      <c r="J19" s="11" t="s">
        <v>335</v>
      </c>
      <c r="M19" s="31">
        <v>0.13</v>
      </c>
    </row>
    <row r="20" spans="1:15" s="11" customFormat="1" x14ac:dyDescent="0.2">
      <c r="C20" s="14"/>
      <c r="D20" s="11" t="s">
        <v>346</v>
      </c>
      <c r="G20" s="11">
        <v>1.1000000000000001</v>
      </c>
      <c r="J20" s="11" t="s">
        <v>338</v>
      </c>
      <c r="M20" s="11" t="s">
        <v>397</v>
      </c>
    </row>
    <row r="21" spans="1:15" s="11" customFormat="1" x14ac:dyDescent="0.2">
      <c r="C21" s="14"/>
      <c r="D21" s="11" t="s">
        <v>348</v>
      </c>
      <c r="G21" s="11">
        <v>0.69330000000000003</v>
      </c>
      <c r="J21" s="11" t="s">
        <v>337</v>
      </c>
      <c r="M21" s="31">
        <v>0.7</v>
      </c>
    </row>
    <row r="22" spans="1:15" s="11" customFormat="1" x14ac:dyDescent="0.2"/>
    <row r="23" spans="1:15" s="11" customFormat="1" ht="17" thickBot="1" x14ac:dyDescent="0.25">
      <c r="C23" s="63"/>
    </row>
    <row r="24" spans="1:15" s="11" customFormat="1" ht="49" thickBot="1" x14ac:dyDescent="0.25">
      <c r="B24" s="64"/>
      <c r="C24" s="65" t="s">
        <v>398</v>
      </c>
      <c r="D24" s="65" t="s">
        <v>148</v>
      </c>
      <c r="E24" s="66" t="s">
        <v>399</v>
      </c>
      <c r="G24" s="67" t="s">
        <v>400</v>
      </c>
      <c r="H24" s="65" t="s">
        <v>401</v>
      </c>
      <c r="I24" s="65" t="s">
        <v>402</v>
      </c>
      <c r="J24" s="66" t="s">
        <v>403</v>
      </c>
      <c r="K24" s="68" t="s">
        <v>404</v>
      </c>
      <c r="L24" s="68" t="s">
        <v>405</v>
      </c>
      <c r="M24" s="68" t="s">
        <v>406</v>
      </c>
      <c r="O24" s="68" t="s">
        <v>407</v>
      </c>
    </row>
    <row r="25" spans="1:15" s="11" customFormat="1" x14ac:dyDescent="0.2">
      <c r="B25" s="69">
        <v>-1</v>
      </c>
      <c r="C25" s="70">
        <f>D26/0.15</f>
        <v>26.666666666666668</v>
      </c>
      <c r="E25" s="70"/>
    </row>
    <row r="26" spans="1:15" s="11" customFormat="1" x14ac:dyDescent="0.2">
      <c r="A26" s="34">
        <f>C25*G26</f>
        <v>4</v>
      </c>
      <c r="B26" s="69">
        <v>0</v>
      </c>
      <c r="C26" s="70">
        <f>C25*(1+0.09)</f>
        <v>29.06666666666667</v>
      </c>
      <c r="D26" s="70">
        <v>4</v>
      </c>
      <c r="E26" s="70">
        <f>D26*0.4</f>
        <v>1.6</v>
      </c>
      <c r="G26" s="22">
        <f>D26/C25</f>
        <v>0.15</v>
      </c>
      <c r="H26" s="22">
        <f>E26/D26</f>
        <v>0.4</v>
      </c>
      <c r="I26" s="22">
        <f>1-H26</f>
        <v>0.6</v>
      </c>
      <c r="J26" s="22">
        <f>G26*I26</f>
        <v>0.09</v>
      </c>
      <c r="K26" s="22">
        <f>(C26-C25)/C25</f>
        <v>9.000000000000008E-2</v>
      </c>
      <c r="L26" s="22"/>
      <c r="M26" s="22"/>
      <c r="O26" s="11">
        <v>4</v>
      </c>
    </row>
    <row r="27" spans="1:15" s="11" customFormat="1" x14ac:dyDescent="0.2">
      <c r="A27" s="34">
        <f t="shared" ref="A27:A33" si="0">C26*G27</f>
        <v>4.3600000000000003</v>
      </c>
      <c r="B27" s="69">
        <v>1</v>
      </c>
      <c r="C27" s="70">
        <f t="shared" ref="C27:D31" si="1">C26*(1+0.09)</f>
        <v>31.682666666666673</v>
      </c>
      <c r="D27" s="70">
        <f>D26*(1+0.09)</f>
        <v>4.3600000000000003</v>
      </c>
      <c r="E27" s="70">
        <f t="shared" ref="E27:E31" si="2">D27*0.4</f>
        <v>1.7440000000000002</v>
      </c>
      <c r="G27" s="22">
        <f t="shared" ref="G27:G30" si="3">D27/C26</f>
        <v>0.15</v>
      </c>
      <c r="H27" s="22">
        <f t="shared" ref="H27:H33" si="4">E27/D27</f>
        <v>0.4</v>
      </c>
      <c r="I27" s="22">
        <f t="shared" ref="I27:I31" si="5">1-H27</f>
        <v>0.6</v>
      </c>
      <c r="J27" s="22">
        <f t="shared" ref="J27:J33" si="6">G27*I27</f>
        <v>0.09</v>
      </c>
      <c r="K27" s="22">
        <f t="shared" ref="K27:M33" si="7">(C27-C26)/C26</f>
        <v>9.0000000000000094E-2</v>
      </c>
      <c r="L27" s="22">
        <f>(D27-D26)/D26</f>
        <v>9.000000000000008E-2</v>
      </c>
      <c r="M27" s="22">
        <f>(E27-E26)/E26</f>
        <v>9.000000000000008E-2</v>
      </c>
      <c r="O27" s="34">
        <f>O26*(1+J27)</f>
        <v>4.3600000000000003</v>
      </c>
    </row>
    <row r="28" spans="1:15" s="11" customFormat="1" x14ac:dyDescent="0.2">
      <c r="A28" s="34">
        <f t="shared" si="0"/>
        <v>4.7524000000000006</v>
      </c>
      <c r="B28" s="69">
        <v>2</v>
      </c>
      <c r="C28" s="70">
        <f t="shared" si="1"/>
        <v>34.534106666666673</v>
      </c>
      <c r="D28" s="70">
        <f t="shared" si="1"/>
        <v>4.7524000000000006</v>
      </c>
      <c r="E28" s="70">
        <f t="shared" si="2"/>
        <v>1.9009600000000004</v>
      </c>
      <c r="G28" s="22">
        <f t="shared" si="3"/>
        <v>0.15</v>
      </c>
      <c r="H28" s="22">
        <f t="shared" si="4"/>
        <v>0.4</v>
      </c>
      <c r="I28" s="22">
        <f t="shared" si="5"/>
        <v>0.6</v>
      </c>
      <c r="J28" s="22">
        <f t="shared" si="6"/>
        <v>0.09</v>
      </c>
      <c r="K28" s="22">
        <f t="shared" si="7"/>
        <v>8.9999999999999983E-2</v>
      </c>
      <c r="L28" s="22">
        <f t="shared" si="7"/>
        <v>9.0000000000000066E-2</v>
      </c>
      <c r="M28" s="22">
        <f t="shared" si="7"/>
        <v>9.0000000000000108E-2</v>
      </c>
      <c r="O28" s="34">
        <f t="shared" ref="O28:O33" si="8">O27*(1+J28)</f>
        <v>4.7524000000000006</v>
      </c>
    </row>
    <row r="29" spans="1:15" s="11" customFormat="1" x14ac:dyDescent="0.2">
      <c r="A29" s="34">
        <f t="shared" si="0"/>
        <v>5.1801160000000008</v>
      </c>
      <c r="B29" s="69">
        <v>3</v>
      </c>
      <c r="C29" s="70">
        <f t="shared" si="1"/>
        <v>37.642176266666674</v>
      </c>
      <c r="D29" s="70">
        <f t="shared" si="1"/>
        <v>5.1801160000000008</v>
      </c>
      <c r="E29" s="70">
        <f t="shared" si="2"/>
        <v>2.0720464000000005</v>
      </c>
      <c r="G29" s="22">
        <f t="shared" si="3"/>
        <v>0.15</v>
      </c>
      <c r="H29" s="22">
        <f>E29/D29</f>
        <v>0.4</v>
      </c>
      <c r="I29" s="22">
        <f t="shared" si="5"/>
        <v>0.6</v>
      </c>
      <c r="J29" s="22">
        <f t="shared" si="6"/>
        <v>0.09</v>
      </c>
      <c r="K29" s="22">
        <f t="shared" si="7"/>
        <v>0.09</v>
      </c>
      <c r="L29" s="22">
        <f t="shared" si="7"/>
        <v>9.0000000000000038E-2</v>
      </c>
      <c r="M29" s="22">
        <f t="shared" si="7"/>
        <v>9.0000000000000024E-2</v>
      </c>
      <c r="O29" s="34">
        <f t="shared" si="8"/>
        <v>5.1801160000000008</v>
      </c>
    </row>
    <row r="30" spans="1:15" s="11" customFormat="1" x14ac:dyDescent="0.2">
      <c r="A30" s="34">
        <f t="shared" si="0"/>
        <v>5.6463264400000011</v>
      </c>
      <c r="B30" s="69">
        <v>4</v>
      </c>
      <c r="C30" s="70">
        <f t="shared" si="1"/>
        <v>41.029972130666678</v>
      </c>
      <c r="D30" s="70">
        <f t="shared" si="1"/>
        <v>5.6463264400000011</v>
      </c>
      <c r="E30" s="70">
        <f t="shared" si="2"/>
        <v>2.2585305760000005</v>
      </c>
      <c r="G30" s="22">
        <f t="shared" si="3"/>
        <v>0.15</v>
      </c>
      <c r="H30" s="22">
        <f t="shared" si="4"/>
        <v>0.4</v>
      </c>
      <c r="I30" s="22">
        <f t="shared" si="5"/>
        <v>0.6</v>
      </c>
      <c r="J30" s="22">
        <f t="shared" si="6"/>
        <v>0.09</v>
      </c>
      <c r="K30" s="22">
        <f t="shared" si="7"/>
        <v>9.0000000000000108E-2</v>
      </c>
      <c r="L30" s="22">
        <f t="shared" si="7"/>
        <v>9.0000000000000024E-2</v>
      </c>
      <c r="M30" s="22">
        <f t="shared" si="7"/>
        <v>8.9999999999999983E-2</v>
      </c>
      <c r="O30" s="34">
        <f t="shared" si="8"/>
        <v>5.6463264400000011</v>
      </c>
    </row>
    <row r="31" spans="1:15" s="11" customFormat="1" x14ac:dyDescent="0.2">
      <c r="A31" s="34">
        <f t="shared" si="0"/>
        <v>6.1544958196000019</v>
      </c>
      <c r="B31" s="69">
        <v>5</v>
      </c>
      <c r="C31" s="70">
        <f t="shared" si="1"/>
        <v>44.722669622426686</v>
      </c>
      <c r="D31" s="70">
        <f>D30*(1+0.09)</f>
        <v>6.1544958196000019</v>
      </c>
      <c r="E31" s="70">
        <f t="shared" si="2"/>
        <v>2.4617983278400009</v>
      </c>
      <c r="G31" s="22">
        <f>D31/C30</f>
        <v>0.15</v>
      </c>
      <c r="H31" s="22">
        <f>E31/D31</f>
        <v>0.4</v>
      </c>
      <c r="I31" s="22">
        <f t="shared" si="5"/>
        <v>0.6</v>
      </c>
      <c r="J31" s="22">
        <f t="shared" si="6"/>
        <v>0.09</v>
      </c>
      <c r="K31" s="22">
        <f t="shared" si="7"/>
        <v>9.0000000000000163E-2</v>
      </c>
      <c r="L31" s="22">
        <f t="shared" si="7"/>
        <v>9.0000000000000135E-2</v>
      </c>
      <c r="M31" s="22">
        <f t="shared" si="7"/>
        <v>9.0000000000000135E-2</v>
      </c>
      <c r="O31" s="34">
        <f t="shared" si="8"/>
        <v>6.1544958196000019</v>
      </c>
    </row>
    <row r="32" spans="1:15" s="11" customFormat="1" x14ac:dyDescent="0.2">
      <c r="A32" s="34">
        <f t="shared" si="0"/>
        <v>5.8139470509154698</v>
      </c>
      <c r="B32" s="69">
        <v>6</v>
      </c>
      <c r="C32" s="70">
        <f>C31*(1.039)</f>
        <v>46.466853737701321</v>
      </c>
      <c r="D32" s="70">
        <f>C31*0.13</f>
        <v>5.8139470509154698</v>
      </c>
      <c r="E32" s="70">
        <f>D32*0.7</f>
        <v>4.0697629356408287</v>
      </c>
      <c r="G32" s="22">
        <f>D32/C31</f>
        <v>0.13</v>
      </c>
      <c r="H32" s="22">
        <f t="shared" si="4"/>
        <v>0.7</v>
      </c>
      <c r="I32" s="22">
        <f>1-H32</f>
        <v>0.30000000000000004</v>
      </c>
      <c r="J32" s="22">
        <f>G32*I32</f>
        <v>3.9000000000000007E-2</v>
      </c>
      <c r="K32" s="22">
        <f t="shared" si="7"/>
        <v>3.8999999999999868E-2</v>
      </c>
      <c r="L32" s="22">
        <f t="shared" si="7"/>
        <v>-5.5333333333333116E-2</v>
      </c>
      <c r="M32" s="22">
        <f>(E32-E31)/E31</f>
        <v>0.6531666666666669</v>
      </c>
      <c r="O32" s="34">
        <f t="shared" si="8"/>
        <v>6.3945211565644016</v>
      </c>
    </row>
    <row r="33" spans="1:15" s="11" customFormat="1" ht="17" thickBot="1" x14ac:dyDescent="0.25">
      <c r="A33" s="34">
        <f t="shared" si="0"/>
        <v>6.0406909859011728</v>
      </c>
      <c r="B33" s="71">
        <v>7</v>
      </c>
      <c r="C33" s="70">
        <f>C32*(1.039)</f>
        <v>48.27906103347167</v>
      </c>
      <c r="D33" s="70">
        <f>D32*(1+0.039)</f>
        <v>6.0406909859011728</v>
      </c>
      <c r="E33" s="70">
        <f>D33*0.7</f>
        <v>4.2284836901308207</v>
      </c>
      <c r="G33" s="22">
        <f>D33/C32</f>
        <v>0.13000000000000003</v>
      </c>
      <c r="H33" s="22">
        <f t="shared" si="4"/>
        <v>0.7</v>
      </c>
      <c r="I33" s="22">
        <f>1-H33</f>
        <v>0.30000000000000004</v>
      </c>
      <c r="J33" s="22">
        <f t="shared" si="6"/>
        <v>3.9000000000000014E-2</v>
      </c>
      <c r="K33" s="22">
        <f>(C33-C32)/C32</f>
        <v>3.8999999999999958E-2</v>
      </c>
      <c r="L33" s="22">
        <f>(D33-D32)/D32</f>
        <v>3.8999999999999944E-2</v>
      </c>
      <c r="M33" s="22">
        <f t="shared" si="7"/>
        <v>3.8999999999999924E-2</v>
      </c>
      <c r="O33" s="34">
        <f t="shared" si="8"/>
        <v>6.6439074816704125</v>
      </c>
    </row>
    <row r="34" spans="1:15" s="11" customFormat="1" x14ac:dyDescent="0.2">
      <c r="B34" s="14"/>
      <c r="C34" s="70"/>
      <c r="D34" s="70"/>
      <c r="E34" s="70"/>
    </row>
    <row r="35" spans="1:15" s="11" customFormat="1" x14ac:dyDescent="0.2">
      <c r="B35" s="14"/>
      <c r="C35" s="70"/>
      <c r="D35" s="70"/>
      <c r="E35" s="70"/>
    </row>
    <row r="36" spans="1:15" s="11" customFormat="1" x14ac:dyDescent="0.2">
      <c r="B36" s="14" t="s">
        <v>408</v>
      </c>
      <c r="C36" s="70"/>
      <c r="D36" s="70"/>
      <c r="E36" s="70"/>
    </row>
    <row r="37" spans="1:15" s="11" customFormat="1" x14ac:dyDescent="0.2">
      <c r="B37" s="14" t="s">
        <v>409</v>
      </c>
      <c r="C37" s="70"/>
      <c r="D37" s="70"/>
      <c r="E37" s="70"/>
    </row>
    <row r="38" spans="1:15" s="11" customFormat="1" x14ac:dyDescent="0.2">
      <c r="B38" s="14" t="s">
        <v>410</v>
      </c>
      <c r="C38" s="70"/>
      <c r="D38" s="70"/>
      <c r="E38" s="70"/>
    </row>
    <row r="39" spans="1:15" s="11" customFormat="1" x14ac:dyDescent="0.2">
      <c r="B39" s="14" t="s">
        <v>411</v>
      </c>
      <c r="C39" s="70"/>
      <c r="D39" s="70"/>
      <c r="E39" s="70"/>
    </row>
    <row r="40" spans="1:15" s="11" customFormat="1" x14ac:dyDescent="0.2">
      <c r="B40" s="14" t="s">
        <v>412</v>
      </c>
      <c r="C40" s="70"/>
      <c r="D40" s="70"/>
      <c r="E40" s="70"/>
    </row>
    <row r="41" spans="1:15" s="11" customFormat="1" x14ac:dyDescent="0.2">
      <c r="B41" s="14"/>
      <c r="C41" s="70"/>
      <c r="D41" s="70"/>
      <c r="E41" s="70"/>
    </row>
    <row r="42" spans="1:15" s="11" customFormat="1" x14ac:dyDescent="0.2">
      <c r="B42" s="14" t="s">
        <v>413</v>
      </c>
      <c r="C42" s="70"/>
      <c r="D42" s="70"/>
      <c r="E42" s="70"/>
    </row>
    <row r="43" spans="1:15" s="11" customFormat="1" x14ac:dyDescent="0.2">
      <c r="B43" s="14"/>
      <c r="C43" s="70"/>
      <c r="D43" s="70"/>
      <c r="E43" s="70"/>
    </row>
    <row r="44" spans="1:15" s="11" customFormat="1" x14ac:dyDescent="0.2">
      <c r="B44" s="14" t="s">
        <v>414</v>
      </c>
      <c r="C44" s="70"/>
      <c r="D44" s="70"/>
      <c r="E44" s="70" t="s">
        <v>415</v>
      </c>
      <c r="F44" s="14" t="s">
        <v>416</v>
      </c>
    </row>
    <row r="45" spans="1:15" s="11" customFormat="1" x14ac:dyDescent="0.2">
      <c r="B45" s="14"/>
      <c r="C45" s="70"/>
      <c r="D45" s="70"/>
      <c r="E45" s="70"/>
    </row>
    <row r="46" spans="1:15" s="11" customFormat="1" x14ac:dyDescent="0.2">
      <c r="B46" s="14" t="s">
        <v>417</v>
      </c>
      <c r="F46" s="14" t="s">
        <v>418</v>
      </c>
    </row>
    <row r="47" spans="1:15" s="11" customFormat="1" x14ac:dyDescent="0.2">
      <c r="B47" s="14" t="s">
        <v>418</v>
      </c>
      <c r="F47" s="14" t="s">
        <v>419</v>
      </c>
    </row>
    <row r="48" spans="1:15" s="11" customFormat="1" x14ac:dyDescent="0.2">
      <c r="B48" s="14" t="s">
        <v>420</v>
      </c>
      <c r="F48" s="14" t="s">
        <v>421</v>
      </c>
    </row>
    <row r="49" spans="2:10" s="11" customFormat="1" x14ac:dyDescent="0.2">
      <c r="B49" s="14"/>
    </row>
    <row r="50" spans="2:10" s="11" customFormat="1" x14ac:dyDescent="0.2">
      <c r="B50" s="14"/>
    </row>
    <row r="51" spans="2:10" s="63" customFormat="1" ht="17" thickBot="1" x14ac:dyDescent="0.25"/>
    <row r="52" spans="2:10" s="11" customFormat="1" x14ac:dyDescent="0.2"/>
    <row r="53" spans="2:10" s="11" customFormat="1" x14ac:dyDescent="0.2">
      <c r="B53" s="11" t="s">
        <v>422</v>
      </c>
    </row>
    <row r="54" spans="2:10" s="11" customFormat="1" ht="17" thickBot="1" x14ac:dyDescent="0.25"/>
    <row r="55" spans="2:10" s="11" customFormat="1" ht="49" thickBot="1" x14ac:dyDescent="0.25">
      <c r="B55" s="72"/>
      <c r="C55" s="65" t="s">
        <v>398</v>
      </c>
      <c r="D55" s="65" t="s">
        <v>148</v>
      </c>
      <c r="E55" s="66" t="s">
        <v>399</v>
      </c>
      <c r="F55" s="73"/>
      <c r="G55" s="67" t="s">
        <v>400</v>
      </c>
      <c r="H55" s="65" t="s">
        <v>401</v>
      </c>
      <c r="I55" s="65" t="s">
        <v>402</v>
      </c>
      <c r="J55" s="66" t="s">
        <v>403</v>
      </c>
    </row>
    <row r="56" spans="2:10" s="11" customFormat="1" x14ac:dyDescent="0.2">
      <c r="B56" s="69">
        <v>-1</v>
      </c>
      <c r="C56" s="70">
        <f>D57/0.15</f>
        <v>26.666666666666668</v>
      </c>
      <c r="E56" s="70"/>
    </row>
    <row r="57" spans="2:10" s="11" customFormat="1" x14ac:dyDescent="0.2">
      <c r="B57" s="69">
        <v>0</v>
      </c>
      <c r="C57" s="70">
        <f>C56*(1+0.09)</f>
        <v>29.06666666666667</v>
      </c>
      <c r="D57" s="70">
        <v>4</v>
      </c>
      <c r="E57" s="70">
        <f>D57*0.4</f>
        <v>1.6</v>
      </c>
      <c r="G57" s="56">
        <f>D57/C56</f>
        <v>0.15</v>
      </c>
      <c r="H57" s="56">
        <f>E57/D57</f>
        <v>0.4</v>
      </c>
      <c r="I57" s="56">
        <f>1-H57</f>
        <v>0.6</v>
      </c>
      <c r="J57" s="56">
        <f>G57*I57</f>
        <v>0.09</v>
      </c>
    </row>
    <row r="58" spans="2:10" s="11" customFormat="1" x14ac:dyDescent="0.2">
      <c r="B58" s="69">
        <v>1</v>
      </c>
      <c r="C58" s="70">
        <f t="shared" ref="C58:D62" si="9">C57*(1+0.09)</f>
        <v>31.682666666666673</v>
      </c>
      <c r="D58" s="70">
        <f>D57*(1+0.09)</f>
        <v>4.3600000000000003</v>
      </c>
      <c r="E58" s="70">
        <f t="shared" ref="E58:E62" si="10">D58*0.4</f>
        <v>1.7440000000000002</v>
      </c>
      <c r="G58" s="56">
        <f t="shared" ref="G58:G63" si="11">D58/C57</f>
        <v>0.15</v>
      </c>
      <c r="H58" s="56">
        <f t="shared" ref="H58:H63" si="12">E58/D58</f>
        <v>0.4</v>
      </c>
      <c r="I58" s="56">
        <f t="shared" ref="I58:I63" si="13">1-H58</f>
        <v>0.6</v>
      </c>
      <c r="J58" s="56">
        <f t="shared" ref="J58:J62" si="14">G58*I58</f>
        <v>0.09</v>
      </c>
    </row>
    <row r="59" spans="2:10" s="11" customFormat="1" x14ac:dyDescent="0.2">
      <c r="B59" s="69">
        <v>2</v>
      </c>
      <c r="C59" s="70">
        <f t="shared" si="9"/>
        <v>34.534106666666673</v>
      </c>
      <c r="D59" s="70">
        <f t="shared" si="9"/>
        <v>4.7524000000000006</v>
      </c>
      <c r="E59" s="70">
        <f t="shared" si="10"/>
        <v>1.9009600000000004</v>
      </c>
      <c r="G59" s="56">
        <f>D59/C58</f>
        <v>0.15</v>
      </c>
      <c r="H59" s="56">
        <f t="shared" si="12"/>
        <v>0.4</v>
      </c>
      <c r="I59" s="56">
        <f t="shared" si="13"/>
        <v>0.6</v>
      </c>
      <c r="J59" s="56">
        <f t="shared" si="14"/>
        <v>0.09</v>
      </c>
    </row>
    <row r="60" spans="2:10" s="11" customFormat="1" x14ac:dyDescent="0.2">
      <c r="B60" s="69">
        <v>3</v>
      </c>
      <c r="C60" s="70">
        <f t="shared" si="9"/>
        <v>37.642176266666674</v>
      </c>
      <c r="D60" s="70">
        <f t="shared" si="9"/>
        <v>5.1801160000000008</v>
      </c>
      <c r="E60" s="70">
        <f t="shared" si="10"/>
        <v>2.0720464000000005</v>
      </c>
      <c r="G60" s="56">
        <f t="shared" si="11"/>
        <v>0.15</v>
      </c>
      <c r="H60" s="56">
        <f t="shared" si="12"/>
        <v>0.4</v>
      </c>
      <c r="I60" s="56">
        <f t="shared" si="13"/>
        <v>0.6</v>
      </c>
      <c r="J60" s="56">
        <f t="shared" si="14"/>
        <v>0.09</v>
      </c>
    </row>
    <row r="61" spans="2:10" s="11" customFormat="1" x14ac:dyDescent="0.2">
      <c r="B61" s="69">
        <v>4</v>
      </c>
      <c r="C61" s="70">
        <f t="shared" si="9"/>
        <v>41.029972130666678</v>
      </c>
      <c r="D61" s="70">
        <f t="shared" si="9"/>
        <v>5.6463264400000011</v>
      </c>
      <c r="E61" s="70">
        <f t="shared" si="10"/>
        <v>2.2585305760000005</v>
      </c>
      <c r="G61" s="56">
        <f t="shared" si="11"/>
        <v>0.15</v>
      </c>
      <c r="H61" s="56">
        <f t="shared" si="12"/>
        <v>0.4</v>
      </c>
      <c r="I61" s="56">
        <f t="shared" si="13"/>
        <v>0.6</v>
      </c>
      <c r="J61" s="56">
        <f t="shared" si="14"/>
        <v>0.09</v>
      </c>
    </row>
    <row r="62" spans="2:10" s="11" customFormat="1" x14ac:dyDescent="0.2">
      <c r="B62" s="69">
        <v>5</v>
      </c>
      <c r="C62" s="70">
        <f>C61*(1+0.09)</f>
        <v>44.722669622426686</v>
      </c>
      <c r="D62" s="70">
        <f t="shared" si="9"/>
        <v>6.1544958196000019</v>
      </c>
      <c r="E62" s="70">
        <f t="shared" si="10"/>
        <v>2.4617983278400009</v>
      </c>
      <c r="G62" s="56">
        <f t="shared" si="11"/>
        <v>0.15</v>
      </c>
      <c r="H62" s="56">
        <f t="shared" si="12"/>
        <v>0.4</v>
      </c>
      <c r="I62" s="56">
        <f t="shared" si="13"/>
        <v>0.6</v>
      </c>
      <c r="J62" s="56">
        <f t="shared" si="14"/>
        <v>0.09</v>
      </c>
    </row>
    <row r="63" spans="2:10" s="11" customFormat="1" x14ac:dyDescent="0.2">
      <c r="B63" s="69">
        <v>6</v>
      </c>
      <c r="C63" s="70"/>
      <c r="D63" s="70">
        <f>D62*(1+0.039)</f>
        <v>6.3945211565644016</v>
      </c>
      <c r="E63" s="70">
        <f>D63*0.7</f>
        <v>4.4761648095950806</v>
      </c>
      <c r="G63" s="56">
        <f t="shared" si="11"/>
        <v>0.14298165137614677</v>
      </c>
      <c r="H63" s="56">
        <f t="shared" si="12"/>
        <v>0.7</v>
      </c>
      <c r="I63" s="56">
        <f t="shared" si="13"/>
        <v>0.30000000000000004</v>
      </c>
      <c r="J63" s="56">
        <f>G63*I63</f>
        <v>4.2894495412844034E-2</v>
      </c>
    </row>
    <row r="64" spans="2:10" s="11" customFormat="1" ht="17" thickBot="1" x14ac:dyDescent="0.25">
      <c r="B64" s="71">
        <v>7</v>
      </c>
      <c r="C64" s="70"/>
      <c r="D64" s="70"/>
      <c r="E64" s="70"/>
      <c r="G64" s="56"/>
      <c r="H64" s="56"/>
      <c r="I64" s="56"/>
      <c r="J64" s="56"/>
    </row>
    <row r="65" spans="2:6" s="11" customFormat="1" x14ac:dyDescent="0.2"/>
    <row r="66" spans="2:6" s="11" customFormat="1" x14ac:dyDescent="0.2"/>
    <row r="67" spans="2:6" s="11" customFormat="1" x14ac:dyDescent="0.2">
      <c r="B67" s="11" t="s">
        <v>423</v>
      </c>
      <c r="D67" s="11">
        <f>D63/C62</f>
        <v>0.14298165137614677</v>
      </c>
      <c r="F67" s="11" t="s">
        <v>424</v>
      </c>
    </row>
    <row r="68" spans="2:6" s="11" customFormat="1" x14ac:dyDescent="0.2">
      <c r="B68" s="11" t="s">
        <v>425</v>
      </c>
    </row>
    <row r="69" spans="2:6" s="11" customFormat="1" x14ac:dyDescent="0.2"/>
    <row r="70" spans="2:6" s="11" customFormat="1" x14ac:dyDescent="0.2"/>
    <row r="71" spans="2:6" s="11" customFormat="1" x14ac:dyDescent="0.2"/>
    <row r="72" spans="2:6" s="11" customFormat="1" x14ac:dyDescent="0.2"/>
    <row r="73" spans="2:6" s="11" customFormat="1" x14ac:dyDescent="0.2"/>
    <row r="74" spans="2:6" s="11" customFormat="1" x14ac:dyDescent="0.2"/>
  </sheetData>
  <pageMargins left="0.7" right="0.7" top="0.75" bottom="0.75" header="0.3" footer="0.3"/>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B9DA4A-8F28-EB45-8BE7-263A0C082A62}">
  <dimension ref="A1:M129"/>
  <sheetViews>
    <sheetView showGridLines="0" topLeftCell="A86" workbookViewId="0">
      <selection activeCell="J38" sqref="J38"/>
    </sheetView>
  </sheetViews>
  <sheetFormatPr baseColWidth="10" defaultRowHeight="16" x14ac:dyDescent="0.2"/>
  <cols>
    <col min="1" max="1" width="5" customWidth="1"/>
    <col min="2" max="2" width="36" bestFit="1" customWidth="1"/>
    <col min="3" max="3" width="13.33203125" bestFit="1" customWidth="1"/>
    <col min="4" max="4" width="12.1640625" customWidth="1"/>
    <col min="5" max="5" width="18.83203125" bestFit="1" customWidth="1"/>
    <col min="6" max="6" width="16.1640625" customWidth="1"/>
    <col min="7" max="7" width="14.83203125" bestFit="1" customWidth="1"/>
    <col min="8" max="8" width="12.1640625" bestFit="1" customWidth="1"/>
    <col min="9" max="9" width="4.83203125" bestFit="1" customWidth="1"/>
  </cols>
  <sheetData>
    <row r="1" spans="1:1" s="24" customFormat="1" ht="64" customHeight="1" x14ac:dyDescent="0.2">
      <c r="A1" s="107" t="s">
        <v>517</v>
      </c>
    </row>
    <row r="21" spans="2:9" ht="19" x14ac:dyDescent="0.25">
      <c r="B21" s="91" t="s">
        <v>481</v>
      </c>
      <c r="C21" s="91"/>
      <c r="D21" s="91"/>
      <c r="E21" s="91"/>
      <c r="F21" s="91"/>
      <c r="G21" s="91"/>
      <c r="H21" s="91"/>
      <c r="I21" s="91"/>
    </row>
    <row r="23" spans="2:9" ht="17" x14ac:dyDescent="0.25">
      <c r="B23" t="s">
        <v>482</v>
      </c>
      <c r="C23">
        <v>1.33</v>
      </c>
    </row>
    <row r="26" spans="2:9" x14ac:dyDescent="0.2">
      <c r="B26" s="92" t="s">
        <v>483</v>
      </c>
      <c r="C26" s="93"/>
      <c r="D26" s="93"/>
      <c r="E26" s="93"/>
      <c r="F26" s="93"/>
      <c r="G26" s="93"/>
      <c r="H26" s="93"/>
      <c r="I26" s="94"/>
    </row>
    <row r="28" spans="2:9" x14ac:dyDescent="0.2">
      <c r="B28" t="s">
        <v>484</v>
      </c>
      <c r="C28">
        <v>5</v>
      </c>
      <c r="D28" t="s">
        <v>485</v>
      </c>
    </row>
    <row r="29" spans="2:9" x14ac:dyDescent="0.2">
      <c r="B29" t="s">
        <v>486</v>
      </c>
      <c r="C29" s="74">
        <v>0.36</v>
      </c>
      <c r="D29" t="s">
        <v>400</v>
      </c>
    </row>
    <row r="30" spans="2:9" x14ac:dyDescent="0.2">
      <c r="B30" s="24" t="s">
        <v>487</v>
      </c>
      <c r="C30" s="24">
        <v>1.6</v>
      </c>
    </row>
    <row r="31" spans="2:9" x14ac:dyDescent="0.2">
      <c r="B31" s="24" t="s">
        <v>488</v>
      </c>
      <c r="C31" s="106">
        <v>7.4999999999999997E-2</v>
      </c>
    </row>
    <row r="32" spans="2:9" x14ac:dyDescent="0.2">
      <c r="B32" s="24" t="s">
        <v>489</v>
      </c>
      <c r="C32" s="106">
        <v>5.5E-2</v>
      </c>
    </row>
    <row r="33" spans="2:9" x14ac:dyDescent="0.2">
      <c r="B33" s="24" t="s">
        <v>490</v>
      </c>
      <c r="C33" s="106">
        <f>C31+C30*C32</f>
        <v>0.16300000000000001</v>
      </c>
      <c r="D33" t="s">
        <v>510</v>
      </c>
    </row>
    <row r="34" spans="2:9" x14ac:dyDescent="0.2">
      <c r="B34" t="s">
        <v>491</v>
      </c>
      <c r="C34" s="83">
        <v>0.1203</v>
      </c>
      <c r="E34" t="s">
        <v>511</v>
      </c>
      <c r="F34" s="83">
        <f>1-C34</f>
        <v>0.87970000000000004</v>
      </c>
    </row>
    <row r="36" spans="2:9" x14ac:dyDescent="0.2">
      <c r="B36" s="92" t="s">
        <v>492</v>
      </c>
      <c r="C36" s="93"/>
      <c r="D36" s="93"/>
      <c r="E36" s="93"/>
      <c r="F36" s="93"/>
      <c r="G36" s="93"/>
      <c r="H36" s="93"/>
      <c r="I36" s="94"/>
    </row>
    <row r="38" spans="2:9" x14ac:dyDescent="0.2">
      <c r="B38" t="s">
        <v>493</v>
      </c>
      <c r="C38">
        <v>5</v>
      </c>
      <c r="D38" t="s">
        <v>485</v>
      </c>
    </row>
    <row r="39" spans="2:9" x14ac:dyDescent="0.2">
      <c r="B39" t="s">
        <v>486</v>
      </c>
      <c r="C39" t="s">
        <v>494</v>
      </c>
      <c r="D39" s="74">
        <v>0.36</v>
      </c>
      <c r="E39" t="s">
        <v>495</v>
      </c>
      <c r="F39" s="74">
        <v>0.06</v>
      </c>
      <c r="G39" t="s">
        <v>496</v>
      </c>
      <c r="I39" s="81"/>
    </row>
    <row r="40" spans="2:9" x14ac:dyDescent="0.2">
      <c r="B40" t="s">
        <v>497</v>
      </c>
      <c r="C40" t="s">
        <v>498</v>
      </c>
      <c r="D40" s="83">
        <v>0.1203</v>
      </c>
      <c r="E40" t="s">
        <v>495</v>
      </c>
      <c r="F40" s="74">
        <v>0.6</v>
      </c>
      <c r="G40" t="s">
        <v>496</v>
      </c>
      <c r="I40" s="81"/>
    </row>
    <row r="41" spans="2:9" x14ac:dyDescent="0.2">
      <c r="B41" t="s">
        <v>487</v>
      </c>
      <c r="C41" t="s">
        <v>499</v>
      </c>
      <c r="D41">
        <v>1.6</v>
      </c>
      <c r="E41" t="s">
        <v>495</v>
      </c>
      <c r="F41" s="75">
        <v>1</v>
      </c>
      <c r="G41" t="s">
        <v>496</v>
      </c>
      <c r="I41" s="75"/>
    </row>
    <row r="45" spans="2:9" x14ac:dyDescent="0.2">
      <c r="B45" s="92" t="s">
        <v>500</v>
      </c>
      <c r="C45" s="93"/>
      <c r="D45" s="93"/>
      <c r="E45" s="93"/>
      <c r="F45" s="93"/>
      <c r="G45" s="93"/>
      <c r="H45" s="93"/>
      <c r="I45" s="94"/>
    </row>
    <row r="47" spans="2:9" x14ac:dyDescent="0.2">
      <c r="B47" t="s">
        <v>501</v>
      </c>
      <c r="C47" s="74">
        <v>0.06</v>
      </c>
    </row>
    <row r="48" spans="2:9" x14ac:dyDescent="0.2">
      <c r="B48" t="s">
        <v>502</v>
      </c>
      <c r="C48">
        <v>1</v>
      </c>
    </row>
    <row r="49" spans="2:12" x14ac:dyDescent="0.2">
      <c r="B49" t="s">
        <v>490</v>
      </c>
      <c r="C49" s="83">
        <f>C31+C48*C32</f>
        <v>0.13</v>
      </c>
    </row>
    <row r="50" spans="2:12" x14ac:dyDescent="0.2">
      <c r="B50" t="s">
        <v>491</v>
      </c>
      <c r="C50" s="74">
        <v>0.6</v>
      </c>
    </row>
    <row r="54" spans="2:12" x14ac:dyDescent="0.2">
      <c r="B54" s="95" t="s">
        <v>503</v>
      </c>
    </row>
    <row r="56" spans="2:12" ht="20" thickBot="1" x14ac:dyDescent="0.3">
      <c r="B56" s="96" t="s">
        <v>504</v>
      </c>
      <c r="C56" s="96" t="s">
        <v>316</v>
      </c>
      <c r="D56" s="96" t="s">
        <v>148</v>
      </c>
      <c r="E56" s="96" t="s">
        <v>505</v>
      </c>
      <c r="F56" s="96" t="s">
        <v>230</v>
      </c>
      <c r="G56" s="96" t="s">
        <v>506</v>
      </c>
      <c r="H56" s="96" t="s">
        <v>507</v>
      </c>
      <c r="I56" t="s">
        <v>428</v>
      </c>
    </row>
    <row r="57" spans="2:12" x14ac:dyDescent="0.2">
      <c r="B57" s="104">
        <v>0</v>
      </c>
      <c r="C57" s="74"/>
      <c r="D57" s="76">
        <f>+$C$23*(1+C57)^B57</f>
        <v>1.33</v>
      </c>
      <c r="E57" s="83">
        <f>+$C$34</f>
        <v>0.1203</v>
      </c>
      <c r="F57" s="77">
        <f>+E57*D57</f>
        <v>0.159999</v>
      </c>
      <c r="G57" s="83">
        <f>+$C$33</f>
        <v>0.16300000000000001</v>
      </c>
      <c r="H57" s="87"/>
    </row>
    <row r="58" spans="2:12" x14ac:dyDescent="0.2">
      <c r="B58" s="104">
        <v>1</v>
      </c>
      <c r="C58" s="74">
        <f t="shared" ref="C58:C62" si="0">+$C$29</f>
        <v>0.36</v>
      </c>
      <c r="D58" s="76">
        <f t="shared" ref="D58:D62" si="1">+$C$23*(1+C58)^B58</f>
        <v>1.8088</v>
      </c>
      <c r="E58" s="83">
        <f t="shared" ref="E58:E62" si="2">+$C$34</f>
        <v>0.1203</v>
      </c>
      <c r="F58" s="77">
        <f t="shared" ref="F58:F67" si="3">+E58*D58</f>
        <v>0.21759864000000001</v>
      </c>
      <c r="G58" s="83">
        <f t="shared" ref="G58:G61" si="4">+$C$33</f>
        <v>0.16300000000000001</v>
      </c>
      <c r="H58" s="87">
        <f t="shared" ref="H58:H62" si="5">+F58/(1+G58)^B58</f>
        <v>0.18710115219260534</v>
      </c>
    </row>
    <row r="59" spans="2:12" x14ac:dyDescent="0.2">
      <c r="B59" s="104">
        <v>2</v>
      </c>
      <c r="C59" s="74">
        <f t="shared" si="0"/>
        <v>0.36</v>
      </c>
      <c r="D59" s="76">
        <f t="shared" si="1"/>
        <v>2.4599679999999999</v>
      </c>
      <c r="E59" s="83">
        <f t="shared" si="2"/>
        <v>0.1203</v>
      </c>
      <c r="F59" s="77">
        <f t="shared" si="3"/>
        <v>0.29593415039999998</v>
      </c>
      <c r="G59" s="83">
        <f t="shared" si="4"/>
        <v>0.16300000000000001</v>
      </c>
      <c r="H59" s="87">
        <f t="shared" si="5"/>
        <v>0.21879412466203199</v>
      </c>
    </row>
    <row r="60" spans="2:12" x14ac:dyDescent="0.2">
      <c r="B60" s="104">
        <v>3</v>
      </c>
      <c r="C60" s="74">
        <f t="shared" si="0"/>
        <v>0.36</v>
      </c>
      <c r="D60" s="76">
        <f t="shared" si="1"/>
        <v>3.3455564799999995</v>
      </c>
      <c r="E60" s="83">
        <f t="shared" si="2"/>
        <v>0.1203</v>
      </c>
      <c r="F60" s="77">
        <f t="shared" si="3"/>
        <v>0.40247044454399994</v>
      </c>
      <c r="G60" s="83">
        <f t="shared" si="4"/>
        <v>0.16300000000000001</v>
      </c>
      <c r="H60" s="87">
        <f t="shared" si="5"/>
        <v>0.2558555542049557</v>
      </c>
    </row>
    <row r="61" spans="2:12" x14ac:dyDescent="0.2">
      <c r="B61" s="104">
        <v>4</v>
      </c>
      <c r="C61" s="74">
        <f t="shared" si="0"/>
        <v>0.36</v>
      </c>
      <c r="D61" s="76">
        <f t="shared" si="1"/>
        <v>4.5499568127999988</v>
      </c>
      <c r="E61" s="83">
        <f t="shared" si="2"/>
        <v>0.1203</v>
      </c>
      <c r="F61" s="77">
        <f t="shared" si="3"/>
        <v>0.5473598045798399</v>
      </c>
      <c r="G61" s="83">
        <f t="shared" si="4"/>
        <v>0.16300000000000001</v>
      </c>
      <c r="H61" s="87">
        <f t="shared" si="5"/>
        <v>0.29919480113391206</v>
      </c>
    </row>
    <row r="62" spans="2:12" x14ac:dyDescent="0.2">
      <c r="B62" s="104">
        <v>5</v>
      </c>
      <c r="C62" s="74">
        <f t="shared" si="0"/>
        <v>0.36</v>
      </c>
      <c r="D62" s="76">
        <f t="shared" si="1"/>
        <v>6.1879412654079982</v>
      </c>
      <c r="E62" s="83">
        <f t="shared" si="2"/>
        <v>0.1203</v>
      </c>
      <c r="F62" s="77">
        <f t="shared" si="3"/>
        <v>0.74440933422858224</v>
      </c>
      <c r="G62" s="83">
        <f>$C$31+I62*$C$32</f>
        <v>0.16300000000000001</v>
      </c>
      <c r="H62" s="87">
        <f t="shared" si="5"/>
        <v>0.34987526185908885</v>
      </c>
      <c r="I62" s="88">
        <v>1.6</v>
      </c>
      <c r="L62">
        <f>60-12.03</f>
        <v>47.97</v>
      </c>
    </row>
    <row r="63" spans="2:12" x14ac:dyDescent="0.2">
      <c r="B63" s="105">
        <v>6</v>
      </c>
      <c r="C63" s="74">
        <v>0.3</v>
      </c>
      <c r="D63" s="76">
        <f>+D62*(1+C63)</f>
        <v>8.0443236450303974</v>
      </c>
      <c r="E63" s="83">
        <f>+E62+$L$63%</f>
        <v>0.21623999999999999</v>
      </c>
      <c r="F63" s="77">
        <f t="shared" si="3"/>
        <v>1.7395045450013731</v>
      </c>
      <c r="G63" s="83">
        <f>$C$31+I63*$C$32</f>
        <v>0.15639999999999998</v>
      </c>
      <c r="H63" s="87">
        <f>+F63/((1+$G$62)^$B$62*(1+$G$63))</f>
        <v>0.70699918176808185</v>
      </c>
      <c r="I63" s="88">
        <f>+I62-0.12</f>
        <v>1.48</v>
      </c>
      <c r="L63">
        <f>+L62/5</f>
        <v>9.5939999999999994</v>
      </c>
    </row>
    <row r="64" spans="2:12" x14ac:dyDescent="0.2">
      <c r="B64" s="105">
        <v>7</v>
      </c>
      <c r="C64" s="74">
        <f>+C63-6%</f>
        <v>0.24</v>
      </c>
      <c r="D64" s="76">
        <f t="shared" ref="D64:D67" si="6">+D63*(1+C64)</f>
        <v>9.9749613198376927</v>
      </c>
      <c r="E64" s="83">
        <f t="shared" ref="E64:E66" si="7">+E63+$L$63%</f>
        <v>0.31218000000000001</v>
      </c>
      <c r="F64" s="77">
        <f t="shared" si="3"/>
        <v>3.1139834248269311</v>
      </c>
      <c r="G64" s="83">
        <f t="shared" ref="G64:G67" si="8">$C$31+I64*$C$32</f>
        <v>0.14979999999999999</v>
      </c>
      <c r="H64" s="87">
        <f>+F64/((1+$G$62)^$B$62*(1+$G$63)*(1+$G$64))</f>
        <v>1.1007465567521295</v>
      </c>
      <c r="I64" s="88">
        <f t="shared" ref="I64:I67" si="9">+I63-0.12</f>
        <v>1.3599999999999999</v>
      </c>
    </row>
    <row r="65" spans="1:12" x14ac:dyDescent="0.2">
      <c r="B65" s="105">
        <v>8</v>
      </c>
      <c r="C65" s="74">
        <f>+C64-6%</f>
        <v>0.18</v>
      </c>
      <c r="D65" s="76">
        <f t="shared" si="6"/>
        <v>11.770454357408477</v>
      </c>
      <c r="E65" s="83">
        <f t="shared" si="7"/>
        <v>0.40812000000000004</v>
      </c>
      <c r="F65" s="77">
        <f t="shared" si="3"/>
        <v>4.8037578323455481</v>
      </c>
      <c r="G65" s="83">
        <f t="shared" si="8"/>
        <v>0.14319999999999999</v>
      </c>
      <c r="H65" s="87">
        <f>+F65/((1+$G$62)^$B$62*(1+$G$63)*(1+$G$64)*(1+G65))</f>
        <v>1.4853538588810431</v>
      </c>
      <c r="I65" s="88">
        <f t="shared" si="9"/>
        <v>1.2399999999999998</v>
      </c>
      <c r="L65" s="85">
        <f>1.6-1</f>
        <v>0.60000000000000009</v>
      </c>
    </row>
    <row r="66" spans="1:12" x14ac:dyDescent="0.2">
      <c r="B66" s="105">
        <v>9</v>
      </c>
      <c r="C66" s="74">
        <f>+C65-6%</f>
        <v>0.12</v>
      </c>
      <c r="D66" s="76">
        <f t="shared" si="6"/>
        <v>13.182908880297495</v>
      </c>
      <c r="E66" s="83">
        <f t="shared" si="7"/>
        <v>0.50406000000000006</v>
      </c>
      <c r="F66" s="77">
        <f t="shared" si="3"/>
        <v>6.6449770502027556</v>
      </c>
      <c r="G66" s="83">
        <f t="shared" si="8"/>
        <v>0.13659999999999997</v>
      </c>
      <c r="H66" s="87">
        <f>+F66/((1+$G$62)^$B$62*(1+$G$63)*(1+$G$64)*(1+$G$65)*(1+$G$66))</f>
        <v>1.8077345434927869</v>
      </c>
      <c r="I66" s="88">
        <f t="shared" si="9"/>
        <v>1.1199999999999997</v>
      </c>
      <c r="L66" s="85">
        <f>+L65/5</f>
        <v>0.12000000000000002</v>
      </c>
    </row>
    <row r="67" spans="1:12" x14ac:dyDescent="0.2">
      <c r="B67" s="105">
        <v>10</v>
      </c>
      <c r="C67" s="74">
        <v>0.06</v>
      </c>
      <c r="D67" s="76">
        <f t="shared" si="6"/>
        <v>13.973883413115345</v>
      </c>
      <c r="E67" s="83">
        <v>0.6</v>
      </c>
      <c r="F67" s="77">
        <f t="shared" si="3"/>
        <v>8.3843300478692075</v>
      </c>
      <c r="G67" s="83">
        <f t="shared" si="8"/>
        <v>0.12999999999999998</v>
      </c>
      <c r="H67" s="87">
        <f>+F67/((1+$G$62)^$B$62*(1+$G$63)*(1+$G$64)*(1+$G$65)*(1+$G$66)*(1+G67))</f>
        <v>2.0185108769208409</v>
      </c>
      <c r="I67" s="88">
        <f t="shared" si="9"/>
        <v>0.99999999999999967</v>
      </c>
    </row>
    <row r="68" spans="1:12" x14ac:dyDescent="0.2">
      <c r="H68" s="98">
        <f>+SUM(H57:H67)</f>
        <v>8.4301659118674763</v>
      </c>
    </row>
    <row r="70" spans="1:12" x14ac:dyDescent="0.2">
      <c r="F70" t="s">
        <v>512</v>
      </c>
    </row>
    <row r="71" spans="1:12" x14ac:dyDescent="0.2">
      <c r="F71" t="s">
        <v>513</v>
      </c>
    </row>
    <row r="72" spans="1:12" x14ac:dyDescent="0.2">
      <c r="B72" s="99" t="s">
        <v>508</v>
      </c>
      <c r="C72" s="100"/>
      <c r="D72" s="100"/>
      <c r="E72" s="100"/>
      <c r="F72" s="101">
        <f>D67*1.06*0.6/(0.13-0.06)</f>
        <v>126.96271215344797</v>
      </c>
      <c r="G72" s="100" t="s">
        <v>514</v>
      </c>
    </row>
    <row r="73" spans="1:12" x14ac:dyDescent="0.2">
      <c r="F73" s="102">
        <f>F72/(((1+G62)^B62)*(1+G63)*(1+G64)*(1+G65)*(1+G66)*(1+G67))</f>
        <v>30.566021850515583</v>
      </c>
      <c r="G73" t="s">
        <v>515</v>
      </c>
    </row>
    <row r="74" spans="1:12" x14ac:dyDescent="0.2">
      <c r="E74" s="99" t="s">
        <v>509</v>
      </c>
      <c r="F74" s="100"/>
      <c r="G74" s="100"/>
      <c r="H74" s="103">
        <f>H68+F73</f>
        <v>38.996187762383059</v>
      </c>
    </row>
    <row r="75" spans="1:12" x14ac:dyDescent="0.2">
      <c r="H75" t="s">
        <v>516</v>
      </c>
    </row>
    <row r="80" spans="1:12" s="24" customFormat="1" ht="87" customHeight="1" x14ac:dyDescent="0.2">
      <c r="A80" s="107" t="s">
        <v>518</v>
      </c>
    </row>
    <row r="83" spans="6:13" x14ac:dyDescent="0.2">
      <c r="F83" t="s">
        <v>520</v>
      </c>
    </row>
    <row r="84" spans="6:13" x14ac:dyDescent="0.2">
      <c r="F84" t="s">
        <v>521</v>
      </c>
    </row>
    <row r="88" spans="6:13" x14ac:dyDescent="0.2">
      <c r="F88" t="s">
        <v>67</v>
      </c>
      <c r="G88" t="s">
        <v>522</v>
      </c>
    </row>
    <row r="89" spans="6:13" x14ac:dyDescent="0.2">
      <c r="F89" t="s">
        <v>62</v>
      </c>
      <c r="G89" t="s">
        <v>576</v>
      </c>
    </row>
    <row r="90" spans="6:13" x14ac:dyDescent="0.2">
      <c r="G90" t="s">
        <v>575</v>
      </c>
    </row>
    <row r="93" spans="6:13" x14ac:dyDescent="0.2">
      <c r="F93" s="89"/>
      <c r="M93" t="s">
        <v>592</v>
      </c>
    </row>
    <row r="95" spans="6:13" x14ac:dyDescent="0.2">
      <c r="F95" t="s">
        <v>577</v>
      </c>
      <c r="G95" t="s">
        <v>578</v>
      </c>
      <c r="K95" t="s">
        <v>589</v>
      </c>
    </row>
    <row r="96" spans="6:13" x14ac:dyDescent="0.2">
      <c r="F96" t="s">
        <v>58</v>
      </c>
      <c r="G96" t="s">
        <v>579</v>
      </c>
      <c r="K96" t="s">
        <v>586</v>
      </c>
    </row>
    <row r="97" spans="6:13" x14ac:dyDescent="0.2">
      <c r="F97" t="s">
        <v>580</v>
      </c>
      <c r="G97" t="s">
        <v>581</v>
      </c>
      <c r="K97" t="s">
        <v>587</v>
      </c>
      <c r="L97" t="s">
        <v>588</v>
      </c>
    </row>
    <row r="98" spans="6:13" x14ac:dyDescent="0.2">
      <c r="F98" t="s">
        <v>582</v>
      </c>
      <c r="G98" t="s">
        <v>583</v>
      </c>
    </row>
    <row r="99" spans="6:13" x14ac:dyDescent="0.2">
      <c r="F99" t="s">
        <v>584</v>
      </c>
      <c r="G99" t="s">
        <v>585</v>
      </c>
    </row>
    <row r="101" spans="6:13" x14ac:dyDescent="0.2">
      <c r="F101" s="110"/>
      <c r="M101" t="s">
        <v>591</v>
      </c>
    </row>
    <row r="103" spans="6:13" x14ac:dyDescent="0.2">
      <c r="F103" t="s">
        <v>577</v>
      </c>
      <c r="G103" t="s">
        <v>578</v>
      </c>
    </row>
    <row r="104" spans="6:13" x14ac:dyDescent="0.2">
      <c r="F104" t="s">
        <v>58</v>
      </c>
      <c r="G104" t="s">
        <v>579</v>
      </c>
    </row>
    <row r="105" spans="6:13" x14ac:dyDescent="0.2">
      <c r="F105" t="s">
        <v>582</v>
      </c>
      <c r="G105" t="s">
        <v>583</v>
      </c>
    </row>
    <row r="106" spans="6:13" x14ac:dyDescent="0.2">
      <c r="F106" t="s">
        <v>584</v>
      </c>
      <c r="G106" t="s">
        <v>585</v>
      </c>
    </row>
    <row r="107" spans="6:13" x14ac:dyDescent="0.2">
      <c r="F107" t="s">
        <v>66</v>
      </c>
      <c r="G107" t="s">
        <v>590</v>
      </c>
    </row>
    <row r="109" spans="6:13" x14ac:dyDescent="0.2">
      <c r="F109" s="110"/>
    </row>
    <row r="111" spans="6:13" x14ac:dyDescent="0.2">
      <c r="F111" t="s">
        <v>580</v>
      </c>
      <c r="G111" t="s">
        <v>593</v>
      </c>
    </row>
    <row r="112" spans="6:13" x14ac:dyDescent="0.2">
      <c r="F112" t="s">
        <v>594</v>
      </c>
      <c r="G112" t="s">
        <v>595</v>
      </c>
    </row>
    <row r="116" spans="6:6" x14ac:dyDescent="0.2">
      <c r="F116" s="110"/>
    </row>
    <row r="117" spans="6:6" x14ac:dyDescent="0.2">
      <c r="F117" s="110"/>
    </row>
    <row r="118" spans="6:6" x14ac:dyDescent="0.2">
      <c r="F118" s="109" t="s">
        <v>596</v>
      </c>
    </row>
    <row r="119" spans="6:6" x14ac:dyDescent="0.2">
      <c r="F119" s="110"/>
    </row>
    <row r="120" spans="6:6" x14ac:dyDescent="0.2">
      <c r="F120" s="110"/>
    </row>
    <row r="123" spans="6:6" x14ac:dyDescent="0.2">
      <c r="F123" t="s">
        <v>597</v>
      </c>
    </row>
    <row r="125" spans="6:6" x14ac:dyDescent="0.2">
      <c r="F125" s="110"/>
    </row>
    <row r="126" spans="6:6" x14ac:dyDescent="0.2">
      <c r="F126" s="110"/>
    </row>
    <row r="127" spans="6:6" x14ac:dyDescent="0.2">
      <c r="F127" s="110"/>
    </row>
    <row r="128" spans="6:6" x14ac:dyDescent="0.2">
      <c r="F128" s="110"/>
    </row>
    <row r="129" spans="6:6" x14ac:dyDescent="0.2">
      <c r="F129" s="110"/>
    </row>
  </sheetData>
  <mergeCells count="4">
    <mergeCell ref="B21:I21"/>
    <mergeCell ref="B26:I26"/>
    <mergeCell ref="B36:I36"/>
    <mergeCell ref="B45:I45"/>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C66F424-68C7-2C41-9FDB-13D9B298F56D}">
  <dimension ref="A1:Q268"/>
  <sheetViews>
    <sheetView showGridLines="0" topLeftCell="A217" workbookViewId="0">
      <selection activeCell="E244" sqref="E244"/>
    </sheetView>
  </sheetViews>
  <sheetFormatPr baseColWidth="10" defaultRowHeight="16" x14ac:dyDescent="0.2"/>
  <cols>
    <col min="2" max="2" width="26.83203125" customWidth="1"/>
    <col min="7" max="7" width="28.1640625" customWidth="1"/>
  </cols>
  <sheetData>
    <row r="1" spans="1:6" s="24" customFormat="1" ht="64" customHeight="1" x14ac:dyDescent="0.2">
      <c r="A1" s="107" t="s">
        <v>598</v>
      </c>
    </row>
    <row r="2" spans="1:6" x14ac:dyDescent="0.2">
      <c r="A2" s="110"/>
    </row>
    <row r="4" spans="1:6" x14ac:dyDescent="0.2">
      <c r="A4" s="110"/>
    </row>
    <row r="5" spans="1:6" x14ac:dyDescent="0.2">
      <c r="A5" s="111"/>
    </row>
    <row r="7" spans="1:6" x14ac:dyDescent="0.2">
      <c r="C7" t="s">
        <v>646</v>
      </c>
    </row>
    <row r="8" spans="1:6" x14ac:dyDescent="0.2">
      <c r="A8" t="s">
        <v>599</v>
      </c>
      <c r="D8" t="s">
        <v>600</v>
      </c>
      <c r="F8" t="s">
        <v>609</v>
      </c>
    </row>
    <row r="10" spans="1:6" x14ac:dyDescent="0.2">
      <c r="A10" t="s">
        <v>601</v>
      </c>
    </row>
    <row r="11" spans="1:6" x14ac:dyDescent="0.2">
      <c r="B11" t="s">
        <v>602</v>
      </c>
    </row>
    <row r="12" spans="1:6" x14ac:dyDescent="0.2">
      <c r="B12" t="s">
        <v>603</v>
      </c>
    </row>
    <row r="14" spans="1:6" x14ac:dyDescent="0.2">
      <c r="A14" t="s">
        <v>604</v>
      </c>
    </row>
    <row r="15" spans="1:6" x14ac:dyDescent="0.2">
      <c r="B15" t="s">
        <v>605</v>
      </c>
    </row>
    <row r="16" spans="1:6" x14ac:dyDescent="0.2">
      <c r="B16" t="s">
        <v>606</v>
      </c>
    </row>
    <row r="17" spans="2:9" x14ac:dyDescent="0.2">
      <c r="B17" t="s">
        <v>607</v>
      </c>
    </row>
    <row r="18" spans="2:9" x14ac:dyDescent="0.2">
      <c r="B18" t="s">
        <v>608</v>
      </c>
    </row>
    <row r="20" spans="2:9" s="114" customFormat="1" ht="59" customHeight="1" x14ac:dyDescent="0.2">
      <c r="B20" s="115" t="s">
        <v>18</v>
      </c>
    </row>
    <row r="21" spans="2:9" s="11" customFormat="1" x14ac:dyDescent="0.2"/>
    <row r="22" spans="2:9" s="11" customFormat="1" x14ac:dyDescent="0.2">
      <c r="B22" s="11" t="s">
        <v>19</v>
      </c>
    </row>
    <row r="23" spans="2:9" s="11" customFormat="1" x14ac:dyDescent="0.2"/>
    <row r="24" spans="2:9" s="11" customFormat="1" x14ac:dyDescent="0.2">
      <c r="G24" s="11" t="s">
        <v>644</v>
      </c>
    </row>
    <row r="25" spans="2:9" s="11" customFormat="1" ht="19" x14ac:dyDescent="0.25">
      <c r="B25" s="12" t="s">
        <v>20</v>
      </c>
      <c r="C25" s="13">
        <v>2006</v>
      </c>
      <c r="D25" s="13">
        <v>2007</v>
      </c>
      <c r="G25" s="12" t="s">
        <v>21</v>
      </c>
      <c r="H25" s="13"/>
      <c r="I25" s="13">
        <v>2007</v>
      </c>
    </row>
    <row r="26" spans="2:9" s="11" customFormat="1" x14ac:dyDescent="0.2">
      <c r="B26" s="14" t="s">
        <v>22</v>
      </c>
      <c r="G26" s="11" t="s">
        <v>23</v>
      </c>
      <c r="I26" s="11">
        <v>3000</v>
      </c>
    </row>
    <row r="27" spans="2:9" s="11" customFormat="1" x14ac:dyDescent="0.2">
      <c r="B27" s="14" t="s">
        <v>24</v>
      </c>
      <c r="C27" s="15"/>
      <c r="D27" s="15"/>
      <c r="G27" s="11" t="s">
        <v>25</v>
      </c>
      <c r="I27" s="11">
        <v>2200</v>
      </c>
    </row>
    <row r="28" spans="2:9" s="11" customFormat="1" x14ac:dyDescent="0.2">
      <c r="B28" s="11" t="s">
        <v>26</v>
      </c>
      <c r="C28" s="15">
        <v>190</v>
      </c>
      <c r="D28" s="15">
        <v>200</v>
      </c>
      <c r="G28" s="11" t="s">
        <v>27</v>
      </c>
      <c r="H28" s="16"/>
      <c r="I28" s="11">
        <v>800</v>
      </c>
    </row>
    <row r="29" spans="2:9" s="11" customFormat="1" x14ac:dyDescent="0.2">
      <c r="B29" s="11" t="s">
        <v>28</v>
      </c>
      <c r="C29" s="15">
        <v>560</v>
      </c>
      <c r="D29" s="15">
        <v>600</v>
      </c>
      <c r="E29" s="15">
        <f>+D29-C29</f>
        <v>40</v>
      </c>
      <c r="G29" s="11" t="s">
        <v>29</v>
      </c>
      <c r="H29" s="16"/>
      <c r="I29" s="11">
        <v>300</v>
      </c>
    </row>
    <row r="30" spans="2:9" s="11" customFormat="1" x14ac:dyDescent="0.2">
      <c r="B30" s="11" t="s">
        <v>30</v>
      </c>
      <c r="C30" s="15">
        <v>410</v>
      </c>
      <c r="D30" s="15">
        <v>440</v>
      </c>
      <c r="E30" s="15">
        <f>+D30-C30</f>
        <v>30</v>
      </c>
      <c r="G30" s="11" t="s">
        <v>31</v>
      </c>
      <c r="H30" s="16"/>
      <c r="I30" s="11">
        <v>500</v>
      </c>
    </row>
    <row r="31" spans="2:9" s="11" customFormat="1" x14ac:dyDescent="0.2">
      <c r="B31" s="14" t="s">
        <v>32</v>
      </c>
      <c r="C31" s="17">
        <v>1160</v>
      </c>
      <c r="D31" s="17">
        <v>1240</v>
      </c>
      <c r="E31" s="15">
        <f>+E30+E29</f>
        <v>70</v>
      </c>
      <c r="G31" s="11" t="s">
        <v>33</v>
      </c>
      <c r="H31" s="16"/>
      <c r="I31" s="11">
        <v>100</v>
      </c>
    </row>
    <row r="32" spans="2:9" s="11" customFormat="1" x14ac:dyDescent="0.2">
      <c r="B32" s="11" t="s">
        <v>34</v>
      </c>
      <c r="C32" s="15">
        <v>2200</v>
      </c>
      <c r="D32" s="15">
        <v>2600</v>
      </c>
      <c r="G32" s="11" t="s">
        <v>35</v>
      </c>
      <c r="H32" s="16"/>
      <c r="I32" s="11">
        <v>400</v>
      </c>
    </row>
    <row r="33" spans="2:9" s="11" customFormat="1" x14ac:dyDescent="0.2">
      <c r="B33" s="11" t="s">
        <v>36</v>
      </c>
      <c r="C33" s="15">
        <v>-900</v>
      </c>
      <c r="D33" s="15">
        <v>-1200</v>
      </c>
      <c r="E33" s="15"/>
      <c r="G33" s="11" t="s">
        <v>37</v>
      </c>
      <c r="I33" s="11">
        <v>140</v>
      </c>
    </row>
    <row r="34" spans="2:9" s="11" customFormat="1" x14ac:dyDescent="0.2">
      <c r="B34" s="11" t="s">
        <v>38</v>
      </c>
      <c r="C34" s="15">
        <v>1300</v>
      </c>
      <c r="D34" s="15">
        <v>1400</v>
      </c>
      <c r="G34" s="61" t="s">
        <v>39</v>
      </c>
      <c r="H34" s="116"/>
      <c r="I34" s="61">
        <v>240</v>
      </c>
    </row>
    <row r="35" spans="2:9" s="11" customFormat="1" x14ac:dyDescent="0.2">
      <c r="B35" s="14" t="s">
        <v>40</v>
      </c>
      <c r="C35" s="17">
        <v>2460</v>
      </c>
      <c r="D35" s="17">
        <v>2640</v>
      </c>
      <c r="G35" s="11" t="s">
        <v>41</v>
      </c>
      <c r="I35" s="11">
        <v>160</v>
      </c>
    </row>
    <row r="36" spans="2:9" s="11" customFormat="1" x14ac:dyDescent="0.2">
      <c r="B36" s="11" t="s">
        <v>42</v>
      </c>
      <c r="C36" s="15"/>
      <c r="D36" s="15"/>
      <c r="G36" s="11" t="s">
        <v>43</v>
      </c>
      <c r="I36" s="11">
        <v>80</v>
      </c>
    </row>
    <row r="37" spans="2:9" s="11" customFormat="1" x14ac:dyDescent="0.2">
      <c r="B37" s="11" t="s">
        <v>44</v>
      </c>
      <c r="C37" s="15"/>
      <c r="D37" s="15"/>
      <c r="G37" s="11" t="s">
        <v>45</v>
      </c>
      <c r="I37" s="11">
        <v>0.48</v>
      </c>
    </row>
    <row r="38" spans="2:9" s="11" customFormat="1" x14ac:dyDescent="0.2">
      <c r="B38" s="11" t="s">
        <v>46</v>
      </c>
      <c r="C38" s="15">
        <v>285</v>
      </c>
      <c r="D38" s="15">
        <v>300</v>
      </c>
      <c r="G38" s="11" t="s">
        <v>47</v>
      </c>
      <c r="I38" s="11">
        <v>0.32</v>
      </c>
    </row>
    <row r="39" spans="2:9" s="11" customFormat="1" x14ac:dyDescent="0.2">
      <c r="B39" s="11" t="s">
        <v>48</v>
      </c>
      <c r="C39" s="15">
        <v>200</v>
      </c>
      <c r="D39" s="15">
        <v>250</v>
      </c>
      <c r="E39" s="15">
        <f>+D39-C39</f>
        <v>50</v>
      </c>
    </row>
    <row r="40" spans="2:9" s="11" customFormat="1" x14ac:dyDescent="0.2">
      <c r="B40" s="11" t="s">
        <v>49</v>
      </c>
      <c r="C40" s="15">
        <v>140</v>
      </c>
      <c r="D40" s="15">
        <v>150</v>
      </c>
    </row>
    <row r="41" spans="2:9" s="11" customFormat="1" x14ac:dyDescent="0.2">
      <c r="B41" s="14" t="s">
        <v>50</v>
      </c>
      <c r="C41" s="17">
        <v>625</v>
      </c>
      <c r="D41" s="17">
        <v>700</v>
      </c>
    </row>
    <row r="42" spans="2:9" s="11" customFormat="1" x14ac:dyDescent="0.2">
      <c r="B42" s="11" t="s">
        <v>51</v>
      </c>
      <c r="C42" s="15">
        <v>865</v>
      </c>
      <c r="D42" s="15">
        <v>890</v>
      </c>
      <c r="E42" s="15">
        <f>+D42-C42</f>
        <v>25</v>
      </c>
    </row>
    <row r="43" spans="2:9" s="11" customFormat="1" x14ac:dyDescent="0.2">
      <c r="B43" s="11" t="s">
        <v>52</v>
      </c>
      <c r="C43" s="11">
        <v>100</v>
      </c>
      <c r="D43" s="11">
        <v>100</v>
      </c>
    </row>
    <row r="44" spans="2:9" s="11" customFormat="1" x14ac:dyDescent="0.2">
      <c r="B44" s="11" t="s">
        <v>53</v>
      </c>
      <c r="C44" s="11">
        <v>200</v>
      </c>
      <c r="D44" s="11">
        <v>200</v>
      </c>
    </row>
    <row r="45" spans="2:9" s="11" customFormat="1" x14ac:dyDescent="0.2">
      <c r="B45" s="11" t="s">
        <v>54</v>
      </c>
      <c r="C45" s="11">
        <v>670</v>
      </c>
      <c r="D45" s="11">
        <v>750</v>
      </c>
    </row>
    <row r="46" spans="2:9" s="11" customFormat="1" x14ac:dyDescent="0.2">
      <c r="B46" s="14" t="s">
        <v>55</v>
      </c>
      <c r="C46" s="17">
        <v>970</v>
      </c>
      <c r="D46" s="17">
        <v>1050</v>
      </c>
    </row>
    <row r="47" spans="2:9" s="11" customFormat="1" x14ac:dyDescent="0.2"/>
    <row r="48" spans="2:9" s="11" customFormat="1" x14ac:dyDescent="0.2"/>
    <row r="49" spans="2:9" s="11" customFormat="1" x14ac:dyDescent="0.2"/>
    <row r="50" spans="2:9" s="11" customFormat="1" x14ac:dyDescent="0.2">
      <c r="B50" s="11" t="s">
        <v>56</v>
      </c>
      <c r="H50" s="13">
        <v>2006</v>
      </c>
      <c r="I50" s="13">
        <v>2007</v>
      </c>
    </row>
    <row r="51" spans="2:9" s="11" customFormat="1" x14ac:dyDescent="0.2"/>
    <row r="52" spans="2:9" s="11" customFormat="1" x14ac:dyDescent="0.2">
      <c r="B52" s="11" t="s">
        <v>57</v>
      </c>
      <c r="C52" s="11">
        <f>+I34</f>
        <v>240</v>
      </c>
      <c r="G52" s="11" t="s">
        <v>28</v>
      </c>
      <c r="H52" s="15">
        <v>560</v>
      </c>
      <c r="I52" s="15">
        <v>600</v>
      </c>
    </row>
    <row r="53" spans="2:9" s="11" customFormat="1" x14ac:dyDescent="0.2">
      <c r="B53" s="11" t="s">
        <v>58</v>
      </c>
      <c r="C53" s="15">
        <f>+I29</f>
        <v>300</v>
      </c>
      <c r="D53" s="11" t="s">
        <v>645</v>
      </c>
      <c r="G53" s="11" t="s">
        <v>30</v>
      </c>
      <c r="H53" s="15">
        <v>410</v>
      </c>
      <c r="I53" s="15">
        <v>440</v>
      </c>
    </row>
    <row r="54" spans="2:9" s="11" customFormat="1" x14ac:dyDescent="0.2">
      <c r="B54" s="11" t="s">
        <v>59</v>
      </c>
      <c r="C54" s="11">
        <f>+I31*(1-0.4)</f>
        <v>60</v>
      </c>
      <c r="H54" s="17">
        <f>+H53+H52</f>
        <v>970</v>
      </c>
      <c r="I54" s="17">
        <f>+I53+I52</f>
        <v>1040</v>
      </c>
    </row>
    <row r="55" spans="2:9" s="11" customFormat="1" x14ac:dyDescent="0.2">
      <c r="B55" s="11" t="s">
        <v>60</v>
      </c>
      <c r="C55" s="15">
        <f>+D34-C34+I29</f>
        <v>400</v>
      </c>
    </row>
    <row r="56" spans="2:9" s="11" customFormat="1" x14ac:dyDescent="0.2">
      <c r="B56" s="11" t="s">
        <v>61</v>
      </c>
      <c r="C56" s="15">
        <f>+H62</f>
        <v>45</v>
      </c>
      <c r="G56" s="11" t="s">
        <v>46</v>
      </c>
      <c r="H56" s="15">
        <f>+C38</f>
        <v>285</v>
      </c>
      <c r="I56" s="15">
        <f>+D38</f>
        <v>300</v>
      </c>
    </row>
    <row r="57" spans="2:9" s="11" customFormat="1" ht="17" thickBot="1" x14ac:dyDescent="0.25">
      <c r="G57" s="11" t="s">
        <v>49</v>
      </c>
      <c r="H57" s="15">
        <f>+C40</f>
        <v>140</v>
      </c>
      <c r="I57" s="15">
        <f>+D40</f>
        <v>150</v>
      </c>
    </row>
    <row r="58" spans="2:9" s="11" customFormat="1" ht="17" thickBot="1" x14ac:dyDescent="0.25">
      <c r="B58" s="19" t="s">
        <v>62</v>
      </c>
      <c r="C58" s="20">
        <f>C52+C53+C54-C55-C56</f>
        <v>155</v>
      </c>
      <c r="H58" s="17">
        <f>+H57+H56</f>
        <v>425</v>
      </c>
      <c r="I58" s="17">
        <f>+I57+I56</f>
        <v>450</v>
      </c>
    </row>
    <row r="59" spans="2:9" s="11" customFormat="1" x14ac:dyDescent="0.2">
      <c r="C59" s="15">
        <f>+C52+C53+C54-C55-C56</f>
        <v>155</v>
      </c>
    </row>
    <row r="60" spans="2:9" s="11" customFormat="1" x14ac:dyDescent="0.2">
      <c r="G60" s="11" t="s">
        <v>63</v>
      </c>
      <c r="H60" s="15">
        <f>+H54-H58</f>
        <v>545</v>
      </c>
      <c r="I60" s="15">
        <f>+I54-I58</f>
        <v>590</v>
      </c>
    </row>
    <row r="61" spans="2:9" s="11" customFormat="1" x14ac:dyDescent="0.2"/>
    <row r="62" spans="2:9" s="11" customFormat="1" x14ac:dyDescent="0.2">
      <c r="G62" s="11" t="s">
        <v>64</v>
      </c>
      <c r="H62" s="15">
        <f>+I60-H60</f>
        <v>45</v>
      </c>
    </row>
    <row r="63" spans="2:9" s="11" customFormat="1" x14ac:dyDescent="0.2"/>
    <row r="64" spans="2:9" s="11" customFormat="1" x14ac:dyDescent="0.2"/>
    <row r="65" spans="2:3" s="11" customFormat="1" x14ac:dyDescent="0.2">
      <c r="B65" s="11" t="s">
        <v>65</v>
      </c>
    </row>
    <row r="66" spans="2:3" s="11" customFormat="1" x14ac:dyDescent="0.2"/>
    <row r="67" spans="2:3" s="11" customFormat="1" x14ac:dyDescent="0.2">
      <c r="B67" s="11" t="s">
        <v>62</v>
      </c>
      <c r="C67" s="15">
        <f>+C59</f>
        <v>155</v>
      </c>
    </row>
    <row r="68" spans="2:3" s="11" customFormat="1" x14ac:dyDescent="0.2">
      <c r="B68" s="11" t="s">
        <v>59</v>
      </c>
      <c r="C68" s="11">
        <f>+C54</f>
        <v>60</v>
      </c>
    </row>
    <row r="69" spans="2:3" s="11" customFormat="1" x14ac:dyDescent="0.2">
      <c r="B69" s="11" t="s">
        <v>66</v>
      </c>
      <c r="C69" s="15">
        <f>+E42+D39-C39</f>
        <v>75</v>
      </c>
    </row>
    <row r="70" spans="2:3" s="11" customFormat="1" ht="17" thickBot="1" x14ac:dyDescent="0.25"/>
    <row r="71" spans="2:3" s="11" customFormat="1" ht="17" thickBot="1" x14ac:dyDescent="0.25">
      <c r="B71" s="19" t="s">
        <v>67</v>
      </c>
      <c r="C71" s="20">
        <f>C67-C68+C69</f>
        <v>170</v>
      </c>
    </row>
    <row r="72" spans="2:3" s="11" customFormat="1" x14ac:dyDescent="0.2"/>
    <row r="73" spans="2:3" s="11" customFormat="1" x14ac:dyDescent="0.2">
      <c r="B73" s="11" t="s">
        <v>68</v>
      </c>
    </row>
    <row r="74" spans="2:3" s="11" customFormat="1" x14ac:dyDescent="0.2"/>
    <row r="75" spans="2:3" s="11" customFormat="1" x14ac:dyDescent="0.2">
      <c r="B75" s="11" t="s">
        <v>57</v>
      </c>
      <c r="C75" s="11">
        <f>+C52</f>
        <v>240</v>
      </c>
    </row>
    <row r="76" spans="2:3" s="11" customFormat="1" x14ac:dyDescent="0.2">
      <c r="B76" s="11" t="s">
        <v>58</v>
      </c>
      <c r="C76" s="15">
        <f>+C53</f>
        <v>300</v>
      </c>
    </row>
    <row r="77" spans="2:3" s="11" customFormat="1" x14ac:dyDescent="0.2">
      <c r="B77" s="11" t="s">
        <v>60</v>
      </c>
      <c r="C77" s="15">
        <f>+C55</f>
        <v>400</v>
      </c>
    </row>
    <row r="78" spans="2:3" s="11" customFormat="1" x14ac:dyDescent="0.2">
      <c r="B78" s="11" t="s">
        <v>61</v>
      </c>
      <c r="C78" s="15">
        <f>+C56</f>
        <v>45</v>
      </c>
    </row>
    <row r="79" spans="2:3" s="11" customFormat="1" x14ac:dyDescent="0.2">
      <c r="B79" s="11" t="s">
        <v>66</v>
      </c>
      <c r="C79" s="15">
        <f>+C69</f>
        <v>75</v>
      </c>
    </row>
    <row r="80" spans="2:3" s="11" customFormat="1" ht="17" thickBot="1" x14ac:dyDescent="0.25"/>
    <row r="81" spans="2:3" s="11" customFormat="1" ht="17" thickBot="1" x14ac:dyDescent="0.25">
      <c r="B81" s="19" t="s">
        <v>67</v>
      </c>
      <c r="C81" s="20">
        <f>C75+C76-C77-C78+C79</f>
        <v>170</v>
      </c>
    </row>
    <row r="82" spans="2:3" s="11" customFormat="1" x14ac:dyDescent="0.2"/>
    <row r="83" spans="2:3" s="11" customFormat="1" x14ac:dyDescent="0.2">
      <c r="B83" s="11" t="s">
        <v>69</v>
      </c>
    </row>
    <row r="84" spans="2:3" s="11" customFormat="1" x14ac:dyDescent="0.2"/>
    <row r="85" spans="2:3" s="11" customFormat="1" x14ac:dyDescent="0.2">
      <c r="B85" s="11" t="s">
        <v>70</v>
      </c>
      <c r="C85" s="11">
        <f>+I30*(1-0.4)</f>
        <v>300</v>
      </c>
    </row>
    <row r="86" spans="2:3" s="11" customFormat="1" x14ac:dyDescent="0.2">
      <c r="B86" s="11" t="s">
        <v>58</v>
      </c>
      <c r="C86" s="15">
        <f>+C76</f>
        <v>300</v>
      </c>
    </row>
    <row r="87" spans="2:3" s="11" customFormat="1" x14ac:dyDescent="0.2">
      <c r="B87" s="11" t="s">
        <v>60</v>
      </c>
      <c r="C87" s="15">
        <f>+C77</f>
        <v>400</v>
      </c>
    </row>
    <row r="88" spans="2:3" s="11" customFormat="1" x14ac:dyDescent="0.2">
      <c r="B88" s="11" t="s">
        <v>61</v>
      </c>
      <c r="C88" s="15">
        <f>+C78</f>
        <v>45</v>
      </c>
    </row>
    <row r="89" spans="2:3" s="11" customFormat="1" ht="17" thickBot="1" x14ac:dyDescent="0.25"/>
    <row r="90" spans="2:3" s="11" customFormat="1" ht="17" thickBot="1" x14ac:dyDescent="0.25">
      <c r="B90" s="19" t="s">
        <v>62</v>
      </c>
      <c r="C90" s="20">
        <f>C85+C86-C87-C88</f>
        <v>155</v>
      </c>
    </row>
    <row r="91" spans="2:3" s="11" customFormat="1" x14ac:dyDescent="0.2"/>
    <row r="92" spans="2:3" s="11" customFormat="1" x14ac:dyDescent="0.2">
      <c r="B92" s="11" t="s">
        <v>71</v>
      </c>
    </row>
    <row r="93" spans="2:3" s="11" customFormat="1" x14ac:dyDescent="0.2"/>
    <row r="94" spans="2:3" s="11" customFormat="1" x14ac:dyDescent="0.2">
      <c r="B94" s="11" t="s">
        <v>72</v>
      </c>
      <c r="C94" s="11">
        <f>+I28*(1-0.4)</f>
        <v>480</v>
      </c>
    </row>
    <row r="95" spans="2:3" s="11" customFormat="1" x14ac:dyDescent="0.2">
      <c r="B95" s="11" t="s">
        <v>73</v>
      </c>
      <c r="C95" s="11">
        <f>+I29*0.4</f>
        <v>120</v>
      </c>
    </row>
    <row r="96" spans="2:3" s="11" customFormat="1" x14ac:dyDescent="0.2">
      <c r="B96" s="11" t="s">
        <v>60</v>
      </c>
      <c r="C96" s="15">
        <f>+C87</f>
        <v>400</v>
      </c>
    </row>
    <row r="97" spans="2:3" s="11" customFormat="1" x14ac:dyDescent="0.2">
      <c r="B97" s="11" t="s">
        <v>61</v>
      </c>
      <c r="C97" s="15">
        <f>+C88</f>
        <v>45</v>
      </c>
    </row>
    <row r="98" spans="2:3" s="11" customFormat="1" ht="17" thickBot="1" x14ac:dyDescent="0.25"/>
    <row r="99" spans="2:3" s="11" customFormat="1" ht="17" thickBot="1" x14ac:dyDescent="0.25">
      <c r="B99" s="19" t="s">
        <v>62</v>
      </c>
      <c r="C99" s="20">
        <f>C94+C95-C96-C97</f>
        <v>155</v>
      </c>
    </row>
    <row r="100" spans="2:3" s="11" customFormat="1" x14ac:dyDescent="0.2"/>
    <row r="101" spans="2:3" s="11" customFormat="1" x14ac:dyDescent="0.2"/>
    <row r="102" spans="2:3" s="11" customFormat="1" x14ac:dyDescent="0.2"/>
    <row r="103" spans="2:3" s="11" customFormat="1" x14ac:dyDescent="0.2"/>
    <row r="104" spans="2:3" s="11" customFormat="1" x14ac:dyDescent="0.2"/>
    <row r="105" spans="2:3" s="11" customFormat="1" x14ac:dyDescent="0.2"/>
    <row r="106" spans="2:3" s="11" customFormat="1" x14ac:dyDescent="0.2"/>
    <row r="107" spans="2:3" s="11" customFormat="1" x14ac:dyDescent="0.2"/>
    <row r="108" spans="2:3" s="11" customFormat="1" x14ac:dyDescent="0.2"/>
    <row r="122" spans="1:13" x14ac:dyDescent="0.2">
      <c r="M122" t="s">
        <v>648</v>
      </c>
    </row>
    <row r="124" spans="1:13" x14ac:dyDescent="0.2">
      <c r="L124" t="s">
        <v>647</v>
      </c>
      <c r="M124" t="s">
        <v>649</v>
      </c>
    </row>
    <row r="126" spans="1:13" x14ac:dyDescent="0.2">
      <c r="A126" s="110"/>
      <c r="M126" t="s">
        <v>650</v>
      </c>
    </row>
    <row r="127" spans="1:13" x14ac:dyDescent="0.2">
      <c r="A127" s="110"/>
    </row>
    <row r="128" spans="1:13" x14ac:dyDescent="0.2">
      <c r="A128" s="110"/>
      <c r="M128" t="s">
        <v>651</v>
      </c>
    </row>
    <row r="129" spans="1:13" x14ac:dyDescent="0.2">
      <c r="A129" s="110"/>
    </row>
    <row r="130" spans="1:13" x14ac:dyDescent="0.2">
      <c r="A130" s="110"/>
      <c r="M130" t="s">
        <v>652</v>
      </c>
    </row>
    <row r="131" spans="1:13" x14ac:dyDescent="0.2">
      <c r="A131" s="110"/>
    </row>
    <row r="132" spans="1:13" x14ac:dyDescent="0.2">
      <c r="A132" s="110"/>
      <c r="M132" t="s">
        <v>653</v>
      </c>
    </row>
    <row r="133" spans="1:13" x14ac:dyDescent="0.2">
      <c r="A133" s="110"/>
    </row>
    <row r="134" spans="1:13" x14ac:dyDescent="0.2">
      <c r="M134" t="s">
        <v>654</v>
      </c>
    </row>
    <row r="136" spans="1:13" x14ac:dyDescent="0.2">
      <c r="M136" t="s">
        <v>655</v>
      </c>
    </row>
    <row r="138" spans="1:13" x14ac:dyDescent="0.2">
      <c r="M138" t="s">
        <v>656</v>
      </c>
    </row>
    <row r="140" spans="1:13" s="11" customFormat="1" ht="20" x14ac:dyDescent="0.2">
      <c r="B140" s="10" t="s">
        <v>74</v>
      </c>
    </row>
    <row r="141" spans="1:13" s="11" customFormat="1" x14ac:dyDescent="0.2"/>
    <row r="142" spans="1:13" s="11" customFormat="1" x14ac:dyDescent="0.2">
      <c r="B142" s="11" t="s">
        <v>75</v>
      </c>
    </row>
    <row r="143" spans="1:13" s="11" customFormat="1" x14ac:dyDescent="0.2">
      <c r="B143" s="11" t="s">
        <v>76</v>
      </c>
    </row>
    <row r="144" spans="1:13" s="11" customFormat="1" x14ac:dyDescent="0.2">
      <c r="B144" s="11" t="s">
        <v>77</v>
      </c>
    </row>
    <row r="145" spans="1:17" s="11" customFormat="1" x14ac:dyDescent="0.2">
      <c r="B145" s="11" t="s">
        <v>78</v>
      </c>
      <c r="C145" s="22">
        <v>0.33329999999999999</v>
      </c>
    </row>
    <row r="146" spans="1:17" s="11" customFormat="1" x14ac:dyDescent="0.2">
      <c r="B146" s="11" t="s">
        <v>79</v>
      </c>
    </row>
    <row r="147" spans="1:17" s="11" customFormat="1" x14ac:dyDescent="0.2">
      <c r="B147" s="11" t="s">
        <v>80</v>
      </c>
      <c r="C147" s="14"/>
    </row>
    <row r="148" spans="1:17" s="11" customFormat="1" x14ac:dyDescent="0.2">
      <c r="B148" s="11" t="s">
        <v>81</v>
      </c>
      <c r="E148" s="11">
        <v>0.2</v>
      </c>
      <c r="F148" s="11" t="s">
        <v>657</v>
      </c>
      <c r="H148" s="23"/>
    </row>
    <row r="149" spans="1:17" s="11" customFormat="1" x14ac:dyDescent="0.2">
      <c r="E149" s="11">
        <v>0.8</v>
      </c>
      <c r="F149" s="11" t="s">
        <v>658</v>
      </c>
    </row>
    <row r="150" spans="1:17" s="11" customFormat="1" x14ac:dyDescent="0.2">
      <c r="E150" s="11">
        <v>5.7000000000000002E-2</v>
      </c>
      <c r="F150" s="22" t="s">
        <v>659</v>
      </c>
    </row>
    <row r="151" spans="1:17" s="11" customFormat="1" x14ac:dyDescent="0.2">
      <c r="E151" s="22">
        <v>0.11799999999999999</v>
      </c>
      <c r="F151" s="11" t="s">
        <v>660</v>
      </c>
    </row>
    <row r="152" spans="1:17" s="11" customFormat="1" x14ac:dyDescent="0.2"/>
    <row r="153" spans="1:17" s="11" customFormat="1" x14ac:dyDescent="0.2">
      <c r="A153" s="24"/>
      <c r="B153" s="25" t="s">
        <v>82</v>
      </c>
      <c r="C153" s="24"/>
      <c r="D153" s="24"/>
      <c r="E153" s="24"/>
      <c r="F153" s="24"/>
      <c r="G153" s="24"/>
      <c r="H153" s="24"/>
      <c r="I153" s="24"/>
      <c r="J153" s="24"/>
      <c r="K153" s="24"/>
      <c r="M153" s="24"/>
      <c r="N153" s="24"/>
      <c r="O153" s="24"/>
      <c r="P153" s="24"/>
      <c r="Q153" s="24"/>
    </row>
    <row r="154" spans="1:17" s="11" customFormat="1" x14ac:dyDescent="0.2">
      <c r="A154" s="24"/>
      <c r="B154" s="24"/>
      <c r="C154" s="24"/>
      <c r="D154" s="24"/>
      <c r="E154" s="24"/>
      <c r="F154" s="24"/>
      <c r="G154" s="24"/>
      <c r="H154" s="24"/>
      <c r="I154" s="24"/>
      <c r="J154" s="24"/>
      <c r="K154" s="24"/>
      <c r="M154" s="24"/>
      <c r="N154" s="24"/>
      <c r="O154" s="24"/>
      <c r="P154" s="24"/>
      <c r="Q154" s="24"/>
    </row>
    <row r="155" spans="1:17" s="11" customFormat="1" x14ac:dyDescent="0.2">
      <c r="A155" s="24"/>
      <c r="B155" s="24"/>
      <c r="C155" s="24"/>
      <c r="D155" s="24"/>
      <c r="E155" s="24"/>
      <c r="F155" s="24"/>
      <c r="G155" s="24"/>
      <c r="H155" s="24"/>
      <c r="I155" s="24"/>
      <c r="J155" s="24"/>
      <c r="K155" s="24"/>
      <c r="M155" s="24"/>
      <c r="N155" s="24"/>
      <c r="O155" s="24"/>
      <c r="P155" s="24"/>
      <c r="Q155" s="24"/>
    </row>
    <row r="156" spans="1:17" s="11" customFormat="1" x14ac:dyDescent="0.2">
      <c r="A156" s="24"/>
      <c r="B156" s="24"/>
      <c r="C156" s="24"/>
      <c r="D156" s="24"/>
      <c r="E156" s="24"/>
      <c r="F156" s="24"/>
      <c r="G156" s="24"/>
      <c r="H156" s="24"/>
      <c r="I156" s="24"/>
      <c r="J156" s="24"/>
      <c r="K156" s="24"/>
      <c r="M156" s="24"/>
      <c r="N156" s="24"/>
      <c r="O156" s="24"/>
      <c r="P156" s="24"/>
      <c r="Q156" s="24"/>
    </row>
    <row r="157" spans="1:17" s="11" customFormat="1" x14ac:dyDescent="0.2">
      <c r="A157" s="24"/>
      <c r="B157" s="24"/>
      <c r="C157" s="24"/>
      <c r="D157" s="24"/>
      <c r="E157" s="32">
        <f>+E148*E150*(1-C145)+E149*E151</f>
        <v>0.10200038</v>
      </c>
      <c r="F157" s="26"/>
      <c r="G157" s="24"/>
      <c r="H157" s="24"/>
      <c r="I157" s="24"/>
      <c r="J157" s="24"/>
      <c r="K157" s="24"/>
      <c r="M157" s="24"/>
      <c r="N157" s="24"/>
      <c r="O157" s="24"/>
      <c r="P157" s="24"/>
      <c r="Q157" s="24"/>
    </row>
    <row r="158" spans="1:17" s="11" customFormat="1" x14ac:dyDescent="0.2">
      <c r="A158" s="24"/>
      <c r="B158" s="24"/>
      <c r="C158" s="24"/>
      <c r="D158" s="24"/>
      <c r="E158" s="24"/>
      <c r="F158" s="24"/>
      <c r="G158" s="24"/>
      <c r="H158" s="24"/>
      <c r="I158" s="24"/>
      <c r="J158" s="24"/>
      <c r="K158" s="24"/>
      <c r="M158" s="24"/>
      <c r="N158" s="24"/>
      <c r="O158" s="24"/>
      <c r="P158" s="24"/>
      <c r="Q158" s="24"/>
    </row>
    <row r="159" spans="1:17" s="11" customFormat="1" x14ac:dyDescent="0.2">
      <c r="A159" s="24"/>
      <c r="B159" s="24"/>
      <c r="C159" s="24"/>
      <c r="D159" s="24"/>
      <c r="E159" s="24"/>
      <c r="F159" s="24"/>
      <c r="G159" s="24"/>
      <c r="H159" s="24"/>
      <c r="I159" s="24"/>
      <c r="J159" s="24"/>
      <c r="K159" s="24"/>
      <c r="M159" s="24"/>
      <c r="N159" s="24"/>
      <c r="O159" s="24"/>
      <c r="P159" s="24"/>
      <c r="Q159" s="24"/>
    </row>
    <row r="160" spans="1:17" s="11" customFormat="1" x14ac:dyDescent="0.2"/>
    <row r="161" spans="1:17" s="11" customFormat="1" x14ac:dyDescent="0.2">
      <c r="A161" s="24"/>
      <c r="B161" s="25" t="s">
        <v>83</v>
      </c>
      <c r="C161" s="24"/>
      <c r="D161" s="24"/>
      <c r="E161" s="24"/>
      <c r="F161" s="24"/>
      <c r="G161" s="24"/>
      <c r="H161" s="24"/>
      <c r="I161" s="24"/>
      <c r="J161" s="24"/>
      <c r="K161" s="24"/>
      <c r="M161" s="24"/>
      <c r="N161" s="24"/>
      <c r="O161" s="24"/>
      <c r="P161" s="24"/>
      <c r="Q161" s="24"/>
    </row>
    <row r="162" spans="1:17" s="11" customFormat="1" x14ac:dyDescent="0.2">
      <c r="A162" s="24"/>
      <c r="B162" s="24"/>
      <c r="C162" s="24"/>
      <c r="D162" s="24"/>
      <c r="E162" s="24"/>
      <c r="F162" s="24"/>
      <c r="G162" s="24"/>
      <c r="H162" s="24"/>
      <c r="I162" s="24"/>
      <c r="J162" s="24"/>
      <c r="K162" s="24"/>
      <c r="M162" s="24"/>
      <c r="N162" s="24"/>
      <c r="O162" s="24"/>
      <c r="P162" s="24"/>
      <c r="Q162" s="24"/>
    </row>
    <row r="163" spans="1:17" s="11" customFormat="1" x14ac:dyDescent="0.2">
      <c r="A163" s="24"/>
      <c r="B163" s="24"/>
      <c r="C163" s="24"/>
      <c r="D163" s="24"/>
      <c r="E163" s="24"/>
      <c r="F163" s="24"/>
      <c r="G163" s="24"/>
      <c r="H163" s="24"/>
      <c r="I163" s="24"/>
      <c r="J163" s="24"/>
      <c r="K163" s="24"/>
      <c r="M163" s="24"/>
      <c r="N163" s="24"/>
      <c r="O163" s="24"/>
      <c r="P163" s="24"/>
      <c r="Q163" s="24"/>
    </row>
    <row r="164" spans="1:17" s="11" customFormat="1" x14ac:dyDescent="0.2">
      <c r="A164" s="24"/>
      <c r="B164" s="24"/>
      <c r="C164" s="24"/>
      <c r="D164" s="24"/>
      <c r="E164" s="24"/>
      <c r="F164" s="24"/>
      <c r="G164" s="24"/>
      <c r="H164" s="24"/>
      <c r="I164" s="24"/>
      <c r="J164" s="24"/>
      <c r="K164" s="24"/>
      <c r="M164" s="24"/>
      <c r="N164" s="24"/>
      <c r="O164" s="24"/>
      <c r="P164" s="24"/>
      <c r="Q164" s="24"/>
    </row>
    <row r="165" spans="1:17" s="11" customFormat="1" x14ac:dyDescent="0.2">
      <c r="A165" s="24"/>
      <c r="B165" s="24"/>
      <c r="C165" s="24"/>
      <c r="D165" s="27">
        <f>700*(1+0.05)/(E157-0.05)</f>
        <v>14134.512093950083</v>
      </c>
      <c r="E165" s="24" t="s">
        <v>95</v>
      </c>
      <c r="F165" s="24"/>
      <c r="G165" s="24"/>
      <c r="H165" s="24"/>
      <c r="I165" s="24"/>
      <c r="J165" s="24"/>
      <c r="K165" s="24"/>
      <c r="M165" s="24"/>
      <c r="N165" s="24"/>
      <c r="O165" s="24"/>
      <c r="P165" s="24"/>
      <c r="Q165" s="24"/>
    </row>
    <row r="166" spans="1:17" s="11" customFormat="1" x14ac:dyDescent="0.2">
      <c r="A166" s="24"/>
      <c r="B166" s="24"/>
      <c r="C166" s="24"/>
      <c r="D166" s="24"/>
      <c r="E166" s="24"/>
      <c r="F166" s="24"/>
      <c r="G166" s="24"/>
      <c r="H166" s="24"/>
      <c r="I166" s="24"/>
      <c r="J166" s="24"/>
      <c r="K166" s="24"/>
      <c r="M166" s="24"/>
      <c r="N166" s="24"/>
      <c r="O166" s="24"/>
      <c r="P166" s="24"/>
      <c r="Q166" s="24"/>
    </row>
    <row r="167" spans="1:17" s="11" customFormat="1" x14ac:dyDescent="0.2">
      <c r="A167" s="24"/>
      <c r="B167" s="24"/>
      <c r="C167" s="24"/>
      <c r="D167" s="24"/>
      <c r="E167" s="24"/>
      <c r="F167" s="24"/>
      <c r="G167" s="24"/>
      <c r="H167" s="24"/>
      <c r="I167" s="24"/>
      <c r="J167" s="24"/>
      <c r="K167" s="24"/>
      <c r="M167" s="24"/>
      <c r="N167" s="24"/>
      <c r="O167" s="24"/>
      <c r="P167" s="24"/>
      <c r="Q167" s="24"/>
    </row>
    <row r="168" spans="1:17" s="11" customFormat="1" x14ac:dyDescent="0.2">
      <c r="A168" s="24"/>
      <c r="B168" s="24"/>
      <c r="C168" s="24"/>
      <c r="D168" s="24"/>
      <c r="E168" s="24"/>
      <c r="F168" s="24"/>
      <c r="G168" s="24"/>
      <c r="H168" s="24"/>
      <c r="I168" s="24"/>
      <c r="J168" s="24"/>
      <c r="K168" s="24"/>
      <c r="M168" s="24"/>
      <c r="N168" s="24"/>
      <c r="O168" s="24"/>
      <c r="P168" s="24"/>
      <c r="Q168" s="24"/>
    </row>
    <row r="169" spans="1:17" s="11" customFormat="1" x14ac:dyDescent="0.2"/>
    <row r="170" spans="1:17" s="11" customFormat="1" x14ac:dyDescent="0.2">
      <c r="A170" s="24"/>
      <c r="B170" s="25" t="s">
        <v>84</v>
      </c>
      <c r="C170" s="24"/>
      <c r="D170" s="24"/>
      <c r="E170" s="24"/>
      <c r="F170" s="24"/>
      <c r="G170" s="24"/>
      <c r="H170" s="24"/>
      <c r="I170" s="24"/>
      <c r="J170" s="24"/>
      <c r="K170" s="24"/>
      <c r="M170" s="24"/>
      <c r="N170" s="24"/>
      <c r="O170" s="24"/>
      <c r="P170" s="24"/>
      <c r="Q170" s="24"/>
    </row>
    <row r="171" spans="1:17" s="11" customFormat="1" x14ac:dyDescent="0.2">
      <c r="A171" s="24"/>
      <c r="B171" s="24"/>
      <c r="C171" s="24"/>
      <c r="D171" s="24"/>
      <c r="E171" s="24"/>
      <c r="F171" s="24"/>
      <c r="G171" s="24"/>
      <c r="H171" s="24"/>
      <c r="I171" s="24"/>
      <c r="J171" s="24"/>
      <c r="K171" s="24"/>
      <c r="M171" s="24"/>
      <c r="N171" s="24"/>
      <c r="O171" s="24"/>
      <c r="P171" s="24"/>
      <c r="Q171" s="24"/>
    </row>
    <row r="172" spans="1:17" s="11" customFormat="1" x14ac:dyDescent="0.2">
      <c r="A172" s="24"/>
      <c r="B172" s="24"/>
      <c r="C172" s="28"/>
      <c r="D172" s="24"/>
      <c r="E172" s="24"/>
      <c r="F172" s="29"/>
      <c r="G172" s="24"/>
      <c r="H172" s="24"/>
      <c r="I172" s="24"/>
      <c r="J172" s="24"/>
      <c r="K172" s="24"/>
      <c r="M172" s="24"/>
      <c r="N172" s="24"/>
      <c r="O172" s="24"/>
      <c r="P172" s="24"/>
      <c r="Q172" s="24"/>
    </row>
    <row r="173" spans="1:17" s="11" customFormat="1" x14ac:dyDescent="0.2">
      <c r="A173" s="24"/>
      <c r="B173" s="24"/>
      <c r="C173" s="27">
        <f>+D165-2200</f>
        <v>11934.512093950083</v>
      </c>
      <c r="D173" s="27"/>
      <c r="E173" s="24"/>
      <c r="F173" s="24"/>
      <c r="G173" s="24"/>
      <c r="H173" s="24"/>
      <c r="I173" s="24"/>
      <c r="J173" s="24"/>
      <c r="K173" s="24"/>
      <c r="M173" s="24"/>
      <c r="N173" s="24"/>
      <c r="O173" s="24"/>
      <c r="P173" s="24"/>
      <c r="Q173" s="24"/>
    </row>
    <row r="174" spans="1:17" s="11" customFormat="1" x14ac:dyDescent="0.2">
      <c r="A174" s="24"/>
      <c r="B174" s="24"/>
      <c r="C174" s="24"/>
      <c r="D174" s="24"/>
      <c r="E174" s="24"/>
      <c r="F174" s="24"/>
      <c r="G174" s="24"/>
      <c r="H174" s="24"/>
      <c r="I174" s="24"/>
      <c r="J174" s="24"/>
      <c r="K174" s="24"/>
      <c r="M174" s="24"/>
      <c r="N174" s="24"/>
      <c r="O174" s="24"/>
      <c r="P174" s="24"/>
      <c r="Q174" s="24"/>
    </row>
    <row r="175" spans="1:17" s="11" customFormat="1" x14ac:dyDescent="0.2">
      <c r="A175" s="24"/>
      <c r="B175" s="24"/>
      <c r="C175" s="24"/>
      <c r="D175" s="24"/>
      <c r="E175" s="24"/>
      <c r="F175" s="24"/>
      <c r="G175" s="24"/>
      <c r="H175" s="24"/>
      <c r="I175" s="24"/>
      <c r="J175" s="24"/>
      <c r="K175" s="24"/>
      <c r="M175" s="24"/>
      <c r="N175" s="24"/>
      <c r="O175" s="24"/>
      <c r="P175" s="24"/>
      <c r="Q175" s="24"/>
    </row>
    <row r="176" spans="1:17" s="11" customFormat="1" x14ac:dyDescent="0.2">
      <c r="A176" s="24"/>
      <c r="B176" s="24" t="s">
        <v>85</v>
      </c>
      <c r="C176" s="27">
        <f>+C173/200</f>
        <v>59.672560469750415</v>
      </c>
      <c r="D176" s="24"/>
      <c r="E176" s="24"/>
      <c r="F176" s="24"/>
      <c r="G176" s="24"/>
      <c r="H176" s="24"/>
      <c r="I176" s="24"/>
      <c r="J176" s="24"/>
      <c r="K176" s="24"/>
      <c r="M176" s="24"/>
      <c r="N176" s="24"/>
      <c r="O176" s="24"/>
      <c r="P176" s="24"/>
      <c r="Q176" s="24"/>
    </row>
    <row r="177" spans="1:17" s="11" customFormat="1" x14ac:dyDescent="0.2">
      <c r="A177" s="24"/>
      <c r="B177" s="24"/>
      <c r="C177" s="24"/>
      <c r="D177" s="24"/>
      <c r="E177" s="24"/>
      <c r="F177" s="24"/>
      <c r="G177" s="24"/>
      <c r="H177" s="24"/>
      <c r="I177" s="24"/>
      <c r="J177" s="24"/>
      <c r="K177" s="24"/>
      <c r="M177" s="24"/>
      <c r="N177" s="24"/>
      <c r="O177" s="24"/>
      <c r="P177" s="24"/>
      <c r="Q177" s="24"/>
    </row>
    <row r="178" spans="1:17" s="11" customFormat="1" x14ac:dyDescent="0.2">
      <c r="A178" s="24"/>
      <c r="B178" s="24"/>
      <c r="C178" s="24"/>
      <c r="D178" s="24"/>
      <c r="E178" s="24"/>
      <c r="F178" s="24"/>
      <c r="G178" s="24"/>
      <c r="H178" s="24"/>
      <c r="I178" s="24"/>
      <c r="J178" s="24"/>
      <c r="K178" s="24"/>
      <c r="M178" s="24"/>
      <c r="N178" s="24"/>
      <c r="O178" s="24"/>
      <c r="P178" s="24"/>
      <c r="Q178" s="24"/>
    </row>
    <row r="187" spans="1:17" s="24" customFormat="1" ht="64" customHeight="1" x14ac:dyDescent="0.2">
      <c r="A187" s="107" t="s">
        <v>661</v>
      </c>
    </row>
    <row r="221" spans="2:2" s="11" customFormat="1" ht="20" x14ac:dyDescent="0.2">
      <c r="B221" s="10" t="s">
        <v>86</v>
      </c>
    </row>
    <row r="222" spans="2:2" s="11" customFormat="1" x14ac:dyDescent="0.2"/>
    <row r="223" spans="2:2" s="11" customFormat="1" x14ac:dyDescent="0.2">
      <c r="B223" s="11" t="s">
        <v>662</v>
      </c>
    </row>
    <row r="224" spans="2:2" s="11" customFormat="1" x14ac:dyDescent="0.2">
      <c r="B224" s="11" t="s">
        <v>87</v>
      </c>
    </row>
    <row r="225" spans="1:17" s="11" customFormat="1" x14ac:dyDescent="0.2">
      <c r="B225" s="11" t="s">
        <v>663</v>
      </c>
      <c r="C225" s="11">
        <v>3000</v>
      </c>
    </row>
    <row r="226" spans="1:17" s="11" customFormat="1" x14ac:dyDescent="0.2">
      <c r="B226" s="11" t="s">
        <v>88</v>
      </c>
      <c r="C226" s="22"/>
    </row>
    <row r="227" spans="1:17" s="11" customFormat="1" x14ac:dyDescent="0.2">
      <c r="B227" s="11" t="s">
        <v>89</v>
      </c>
    </row>
    <row r="228" spans="1:17" s="11" customFormat="1" x14ac:dyDescent="0.2">
      <c r="B228" s="11" t="s">
        <v>90</v>
      </c>
      <c r="C228" s="14"/>
    </row>
    <row r="229" spans="1:17" s="11" customFormat="1" x14ac:dyDescent="0.2">
      <c r="B229" s="11" t="s">
        <v>91</v>
      </c>
      <c r="C229" s="11" t="s">
        <v>92</v>
      </c>
      <c r="H229" s="23"/>
    </row>
    <row r="230" spans="1:17" s="11" customFormat="1" x14ac:dyDescent="0.2">
      <c r="B230" s="11" t="s">
        <v>93</v>
      </c>
      <c r="D230" s="30">
        <f>500/3000</f>
        <v>0.16666666666666666</v>
      </c>
      <c r="H230" s="23"/>
    </row>
    <row r="231" spans="1:17" s="11" customFormat="1" x14ac:dyDescent="0.2">
      <c r="B231" s="11" t="s">
        <v>94</v>
      </c>
      <c r="D231" s="31">
        <v>0.4</v>
      </c>
      <c r="H231" s="23"/>
    </row>
    <row r="232" spans="1:17" s="11" customFormat="1" x14ac:dyDescent="0.2">
      <c r="B232" s="11" t="s">
        <v>60</v>
      </c>
      <c r="C232" s="15"/>
      <c r="D232" s="11">
        <v>400</v>
      </c>
      <c r="E232" s="11" t="s">
        <v>95</v>
      </c>
    </row>
    <row r="233" spans="1:17" s="11" customFormat="1" x14ac:dyDescent="0.2">
      <c r="F233" s="22"/>
    </row>
    <row r="234" spans="1:17" s="11" customFormat="1" x14ac:dyDescent="0.2"/>
    <row r="235" spans="1:17" s="11" customFormat="1" x14ac:dyDescent="0.2"/>
    <row r="236" spans="1:17" s="11" customFormat="1" x14ac:dyDescent="0.2">
      <c r="A236" s="24"/>
      <c r="B236" s="25" t="s">
        <v>96</v>
      </c>
      <c r="C236" s="24"/>
      <c r="D236" s="24">
        <f>+(D232-300)/300</f>
        <v>0.33333333333333331</v>
      </c>
      <c r="E236" s="24"/>
      <c r="F236" s="24"/>
      <c r="G236" s="24"/>
      <c r="H236" s="24"/>
      <c r="I236" s="24"/>
      <c r="J236" s="24"/>
      <c r="K236" s="24"/>
      <c r="M236" s="24"/>
      <c r="N236" s="24"/>
      <c r="O236" s="24"/>
      <c r="P236" s="24"/>
      <c r="Q236" s="24"/>
    </row>
    <row r="237" spans="1:17" s="11" customFormat="1" x14ac:dyDescent="0.2">
      <c r="A237" s="24"/>
      <c r="B237" s="24"/>
      <c r="C237" s="24"/>
      <c r="D237" s="24"/>
      <c r="E237" s="24"/>
      <c r="F237" s="24"/>
      <c r="G237" s="24"/>
      <c r="H237" s="24"/>
      <c r="I237" s="24"/>
      <c r="J237" s="24"/>
      <c r="K237" s="24"/>
      <c r="M237" s="24"/>
      <c r="N237" s="24"/>
      <c r="O237" s="24"/>
      <c r="P237" s="24"/>
      <c r="Q237" s="24"/>
    </row>
    <row r="238" spans="1:17" s="11" customFormat="1" x14ac:dyDescent="0.2">
      <c r="A238" s="24"/>
      <c r="B238" s="24"/>
      <c r="C238" s="24"/>
      <c r="D238" s="24"/>
      <c r="E238" s="24"/>
      <c r="F238" s="24"/>
      <c r="G238" s="24"/>
      <c r="H238" s="24"/>
      <c r="I238" s="24"/>
      <c r="J238" s="24"/>
      <c r="K238" s="24"/>
      <c r="M238" s="24"/>
      <c r="N238" s="24"/>
      <c r="O238" s="24"/>
      <c r="P238" s="24"/>
      <c r="Q238" s="24"/>
    </row>
    <row r="239" spans="1:17" s="11" customFormat="1" x14ac:dyDescent="0.2">
      <c r="A239" s="24"/>
      <c r="B239" s="24"/>
      <c r="C239" s="32"/>
      <c r="D239" s="24"/>
      <c r="E239" s="24"/>
      <c r="F239" s="24"/>
      <c r="G239" s="24"/>
      <c r="H239" s="24"/>
      <c r="I239" s="24"/>
      <c r="J239" s="24"/>
      <c r="K239" s="24"/>
      <c r="M239" s="24"/>
      <c r="N239" s="24"/>
      <c r="O239" s="24"/>
      <c r="P239" s="24"/>
      <c r="Q239" s="24"/>
    </row>
    <row r="240" spans="1:17" s="11" customFormat="1" x14ac:dyDescent="0.2">
      <c r="A240" s="24"/>
      <c r="B240" s="24"/>
      <c r="C240" s="24"/>
      <c r="D240" s="24"/>
      <c r="E240" s="24"/>
      <c r="F240" s="26"/>
      <c r="G240" s="24"/>
      <c r="H240" s="24"/>
      <c r="I240" s="24"/>
      <c r="J240" s="24"/>
      <c r="K240" s="24"/>
      <c r="M240" s="24"/>
      <c r="N240" s="24"/>
      <c r="O240" s="24"/>
      <c r="P240" s="24"/>
      <c r="Q240" s="24"/>
    </row>
    <row r="241" spans="1:17" s="11" customFormat="1" x14ac:dyDescent="0.2">
      <c r="A241" s="24"/>
      <c r="B241" s="24"/>
      <c r="C241" s="24"/>
      <c r="D241" s="24"/>
      <c r="E241" s="24"/>
      <c r="F241" s="24"/>
      <c r="G241" s="24"/>
      <c r="H241" s="24"/>
      <c r="I241" s="24"/>
      <c r="J241" s="24"/>
      <c r="K241" s="24"/>
      <c r="M241" s="24"/>
      <c r="N241" s="24"/>
      <c r="O241" s="24"/>
      <c r="P241" s="24"/>
      <c r="Q241" s="24"/>
    </row>
    <row r="242" spans="1:17" s="11" customFormat="1" x14ac:dyDescent="0.2"/>
    <row r="243" spans="1:17" s="11" customFormat="1" x14ac:dyDescent="0.2">
      <c r="A243" s="24"/>
      <c r="B243" s="25" t="s">
        <v>97</v>
      </c>
      <c r="C243" s="24"/>
      <c r="D243" s="26">
        <f>+C78/300</f>
        <v>0.15</v>
      </c>
      <c r="E243" s="24" t="s">
        <v>851</v>
      </c>
      <c r="F243" s="24"/>
      <c r="G243" s="24"/>
      <c r="H243" s="24"/>
      <c r="I243" s="24"/>
      <c r="J243" s="24"/>
      <c r="K243" s="24"/>
      <c r="M243" s="24"/>
      <c r="N243" s="24"/>
      <c r="O243" s="24"/>
      <c r="P243" s="24"/>
      <c r="Q243" s="24"/>
    </row>
    <row r="244" spans="1:17" s="11" customFormat="1" x14ac:dyDescent="0.2">
      <c r="A244" s="24"/>
      <c r="B244" s="24"/>
      <c r="C244" s="24"/>
      <c r="D244" s="24"/>
      <c r="E244" s="24"/>
      <c r="F244" s="24"/>
      <c r="G244" s="24"/>
      <c r="H244" s="24"/>
      <c r="I244" s="24"/>
      <c r="J244" s="24"/>
      <c r="K244" s="24"/>
      <c r="M244" s="24"/>
      <c r="N244" s="24"/>
      <c r="O244" s="24"/>
      <c r="P244" s="24"/>
      <c r="Q244" s="24"/>
    </row>
    <row r="245" spans="1:17" s="11" customFormat="1" x14ac:dyDescent="0.2">
      <c r="A245" s="24"/>
      <c r="B245" s="24"/>
      <c r="C245" s="24"/>
      <c r="D245" s="24"/>
      <c r="E245" s="24"/>
      <c r="F245" s="24"/>
      <c r="G245" s="24"/>
      <c r="H245" s="24"/>
      <c r="I245" s="24"/>
      <c r="J245" s="24"/>
      <c r="K245" s="24"/>
      <c r="M245" s="24"/>
      <c r="N245" s="24"/>
      <c r="O245" s="24"/>
      <c r="P245" s="24"/>
      <c r="Q245" s="24"/>
    </row>
    <row r="246" spans="1:17" s="11" customFormat="1" x14ac:dyDescent="0.2">
      <c r="A246" s="24"/>
      <c r="B246" s="24"/>
      <c r="C246" s="32"/>
      <c r="D246" s="24"/>
      <c r="E246" s="24"/>
      <c r="F246" s="24"/>
      <c r="G246" s="24"/>
      <c r="H246" s="24"/>
      <c r="I246" s="24"/>
      <c r="J246" s="24"/>
      <c r="K246" s="24"/>
      <c r="M246" s="24"/>
      <c r="N246" s="24"/>
      <c r="O246" s="24"/>
      <c r="P246" s="24"/>
      <c r="Q246" s="24"/>
    </row>
    <row r="247" spans="1:17" s="11" customFormat="1" x14ac:dyDescent="0.2">
      <c r="A247" s="24"/>
      <c r="B247" s="24"/>
      <c r="C247" s="24"/>
      <c r="D247" s="27"/>
      <c r="E247" s="24"/>
      <c r="F247" s="24"/>
      <c r="G247" s="24"/>
      <c r="H247" s="24"/>
      <c r="I247" s="24"/>
      <c r="J247" s="24"/>
      <c r="K247" s="24"/>
      <c r="M247" s="24"/>
      <c r="N247" s="24"/>
      <c r="O247" s="24"/>
      <c r="P247" s="24"/>
      <c r="Q247" s="24"/>
    </row>
    <row r="248" spans="1:17" s="11" customFormat="1" x14ac:dyDescent="0.2"/>
    <row r="249" spans="1:17" s="11" customFormat="1" x14ac:dyDescent="0.2">
      <c r="A249" s="24"/>
      <c r="B249" s="25" t="s">
        <v>98</v>
      </c>
      <c r="C249" s="24"/>
      <c r="D249" s="24" t="s">
        <v>665</v>
      </c>
      <c r="E249" s="24"/>
      <c r="F249" s="24"/>
      <c r="G249" s="24" t="s">
        <v>664</v>
      </c>
      <c r="H249" s="24"/>
      <c r="I249" s="24"/>
      <c r="J249" s="24"/>
      <c r="K249" s="24"/>
      <c r="M249" s="24"/>
      <c r="N249" s="24"/>
      <c r="O249" s="24"/>
      <c r="P249" s="24"/>
      <c r="Q249" s="24"/>
    </row>
    <row r="250" spans="1:17" s="11" customFormat="1" x14ac:dyDescent="0.2">
      <c r="A250" s="24"/>
      <c r="B250" s="24"/>
      <c r="C250" s="24"/>
      <c r="D250" s="24"/>
      <c r="E250" s="24"/>
      <c r="F250" s="24"/>
      <c r="G250" s="24"/>
      <c r="H250" s="24"/>
      <c r="I250" s="24"/>
      <c r="J250" s="24"/>
      <c r="K250" s="24"/>
      <c r="M250" s="24"/>
      <c r="N250" s="24"/>
      <c r="O250" s="24"/>
      <c r="P250" s="24"/>
      <c r="Q250" s="24"/>
    </row>
    <row r="251" spans="1:17" s="11" customFormat="1" x14ac:dyDescent="0.2">
      <c r="A251" s="24"/>
      <c r="B251" s="24" t="s">
        <v>99</v>
      </c>
      <c r="C251" s="28"/>
      <c r="D251" s="24">
        <f>+C225*1.1</f>
        <v>3300.0000000000005</v>
      </c>
      <c r="E251" s="24"/>
      <c r="F251" s="29"/>
      <c r="G251" s="29"/>
      <c r="H251" s="24"/>
      <c r="I251" s="24"/>
      <c r="J251" s="24"/>
      <c r="K251" s="24"/>
      <c r="M251" s="24"/>
      <c r="N251" s="24"/>
      <c r="O251" s="24"/>
      <c r="P251" s="24"/>
      <c r="Q251" s="24"/>
    </row>
    <row r="252" spans="1:17" s="11" customFormat="1" x14ac:dyDescent="0.2">
      <c r="A252" s="24"/>
      <c r="B252" s="24"/>
      <c r="C252" s="28"/>
      <c r="D252" s="24"/>
      <c r="E252" s="106"/>
      <c r="F252" s="29"/>
      <c r="G252" s="29"/>
      <c r="H252" s="24"/>
      <c r="I252" s="24"/>
      <c r="J252" s="24"/>
      <c r="K252" s="24"/>
      <c r="M252" s="24"/>
      <c r="N252" s="24"/>
      <c r="O252" s="24"/>
      <c r="P252" s="24"/>
      <c r="Q252" s="24"/>
    </row>
    <row r="253" spans="1:17" s="11" customFormat="1" x14ac:dyDescent="0.2">
      <c r="A253" s="24"/>
      <c r="B253" s="24" t="s">
        <v>100</v>
      </c>
      <c r="C253" s="24"/>
      <c r="D253" s="27">
        <f>+D230*D251</f>
        <v>550</v>
      </c>
      <c r="E253" s="27"/>
      <c r="F253" s="24"/>
      <c r="G253" s="24"/>
      <c r="H253" s="24"/>
      <c r="I253" s="24"/>
      <c r="J253" s="24"/>
      <c r="K253" s="24"/>
      <c r="M253" s="24"/>
      <c r="N253" s="24"/>
      <c r="O253" s="24"/>
      <c r="P253" s="24"/>
      <c r="Q253" s="24"/>
    </row>
    <row r="254" spans="1:17" s="11" customFormat="1" x14ac:dyDescent="0.2">
      <c r="A254" s="24"/>
      <c r="B254" s="24"/>
      <c r="C254" s="24"/>
      <c r="D254" s="27"/>
      <c r="E254" s="106"/>
      <c r="F254" s="24"/>
      <c r="G254" s="24"/>
      <c r="H254" s="24"/>
      <c r="I254" s="24"/>
      <c r="J254" s="24"/>
      <c r="K254" s="24"/>
      <c r="M254" s="24"/>
      <c r="N254" s="24"/>
      <c r="O254" s="24"/>
      <c r="P254" s="24"/>
      <c r="Q254" s="24"/>
    </row>
    <row r="255" spans="1:17" s="11" customFormat="1" x14ac:dyDescent="0.2">
      <c r="A255" s="24"/>
      <c r="B255" s="24" t="s">
        <v>70</v>
      </c>
      <c r="C255" s="24"/>
      <c r="D255" s="24">
        <f>+D253*(1-D231)</f>
        <v>330</v>
      </c>
      <c r="E255" s="24"/>
      <c r="F255" s="24"/>
      <c r="G255" s="24"/>
      <c r="H255" s="24"/>
      <c r="I255" s="24"/>
      <c r="J255" s="24"/>
      <c r="K255" s="24"/>
      <c r="M255" s="24"/>
      <c r="N255" s="24"/>
      <c r="O255" s="24"/>
      <c r="P255" s="24"/>
      <c r="Q255" s="24"/>
    </row>
    <row r="256" spans="1:17" s="11" customFormat="1" x14ac:dyDescent="0.2">
      <c r="A256" s="24"/>
      <c r="B256" s="24"/>
      <c r="C256" s="24"/>
      <c r="D256" s="24"/>
      <c r="E256" s="106"/>
      <c r="F256" s="24"/>
      <c r="G256" s="24"/>
      <c r="H256" s="24"/>
      <c r="I256" s="24"/>
      <c r="J256" s="24"/>
      <c r="K256" s="24"/>
      <c r="M256" s="24"/>
      <c r="N256" s="24"/>
      <c r="O256" s="24"/>
      <c r="P256" s="24"/>
      <c r="Q256" s="24"/>
    </row>
    <row r="257" spans="1:17" s="11" customFormat="1" x14ac:dyDescent="0.2">
      <c r="A257" s="24"/>
      <c r="B257" s="24" t="s">
        <v>101</v>
      </c>
      <c r="C257" s="24"/>
      <c r="D257" s="24">
        <f>+D236*300</f>
        <v>100</v>
      </c>
      <c r="E257" s="24"/>
      <c r="F257" s="24"/>
      <c r="G257" s="24"/>
      <c r="H257" s="24"/>
      <c r="I257" s="24"/>
      <c r="J257" s="24"/>
      <c r="K257" s="24"/>
      <c r="M257" s="24"/>
      <c r="N257" s="24"/>
      <c r="O257" s="24"/>
      <c r="P257" s="24"/>
      <c r="Q257" s="24"/>
    </row>
    <row r="258" spans="1:17" s="11" customFormat="1" x14ac:dyDescent="0.2">
      <c r="A258" s="24"/>
      <c r="B258" s="24"/>
      <c r="C258" s="24"/>
      <c r="D258" s="24"/>
      <c r="E258" s="106"/>
      <c r="F258" s="24"/>
      <c r="G258" s="24"/>
      <c r="H258" s="24"/>
      <c r="I258" s="24"/>
      <c r="J258" s="24"/>
      <c r="K258" s="24"/>
      <c r="M258" s="24"/>
      <c r="N258" s="24"/>
      <c r="O258" s="24"/>
      <c r="P258" s="24"/>
      <c r="Q258" s="24"/>
    </row>
    <row r="259" spans="1:17" s="11" customFormat="1" x14ac:dyDescent="0.2">
      <c r="A259" s="24"/>
      <c r="B259" s="24" t="s">
        <v>102</v>
      </c>
      <c r="C259" s="24"/>
      <c r="D259" s="24">
        <f>+D243*300</f>
        <v>45</v>
      </c>
      <c r="E259" s="24"/>
      <c r="F259" s="24"/>
      <c r="G259" s="24"/>
      <c r="H259" s="24"/>
      <c r="I259" s="24"/>
      <c r="J259" s="24"/>
      <c r="K259" s="24"/>
      <c r="M259" s="24"/>
      <c r="N259" s="24"/>
      <c r="O259" s="24"/>
      <c r="P259" s="24"/>
      <c r="Q259" s="24"/>
    </row>
    <row r="260" spans="1:17" s="11" customFormat="1" x14ac:dyDescent="0.2">
      <c r="A260" s="24"/>
      <c r="B260" s="24"/>
      <c r="C260" s="24"/>
      <c r="D260" s="24"/>
      <c r="E260" s="106"/>
      <c r="F260" s="24"/>
      <c r="G260" s="24"/>
      <c r="H260" s="24"/>
      <c r="I260" s="24"/>
      <c r="J260" s="24"/>
      <c r="K260" s="24"/>
      <c r="M260" s="24"/>
      <c r="N260" s="24"/>
      <c r="O260" s="24"/>
      <c r="P260" s="24"/>
      <c r="Q260" s="24"/>
    </row>
    <row r="261" spans="1:17" s="11" customFormat="1" x14ac:dyDescent="0.2">
      <c r="A261" s="24"/>
      <c r="B261" s="24" t="s">
        <v>62</v>
      </c>
      <c r="C261" s="24"/>
      <c r="D261" s="24">
        <f>+D255-D257-D259</f>
        <v>185</v>
      </c>
      <c r="E261" s="24"/>
      <c r="F261" s="24"/>
      <c r="G261" s="24"/>
      <c r="H261" s="24"/>
      <c r="I261" s="24"/>
      <c r="J261" s="24"/>
      <c r="K261" s="24"/>
      <c r="M261" s="24"/>
      <c r="N261" s="24"/>
      <c r="O261" s="24"/>
      <c r="P261" s="24"/>
      <c r="Q261" s="24"/>
    </row>
    <row r="262" spans="1:17" s="11" customFormat="1" x14ac:dyDescent="0.2"/>
    <row r="263" spans="1:17" s="11" customFormat="1" x14ac:dyDescent="0.2"/>
    <row r="264" spans="1:17" s="11" customFormat="1" x14ac:dyDescent="0.2"/>
    <row r="265" spans="1:17" s="11" customFormat="1" x14ac:dyDescent="0.2"/>
    <row r="266" spans="1:17" s="11" customFormat="1" x14ac:dyDescent="0.2"/>
    <row r="267" spans="1:17" s="11" customFormat="1" x14ac:dyDescent="0.2"/>
    <row r="268" spans="1:17" s="11" customFormat="1" x14ac:dyDescent="0.2"/>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6864CC-31BE-444D-AEE9-B03F9C5FDAF0}">
  <dimension ref="A30:Q242"/>
  <sheetViews>
    <sheetView showGridLines="0" topLeftCell="A27" zoomScale="126" workbookViewId="0">
      <selection activeCell="O178" sqref="O178"/>
    </sheetView>
  </sheetViews>
  <sheetFormatPr baseColWidth="10" defaultRowHeight="16" x14ac:dyDescent="0.2"/>
  <cols>
    <col min="4" max="4" width="11.1640625" bestFit="1" customWidth="1"/>
    <col min="5" max="5" width="11.33203125" bestFit="1" customWidth="1"/>
  </cols>
  <sheetData>
    <row r="30" spans="2:2" s="11" customFormat="1" ht="20" x14ac:dyDescent="0.2">
      <c r="B30" s="10" t="s">
        <v>86</v>
      </c>
    </row>
    <row r="31" spans="2:2" s="11" customFormat="1" x14ac:dyDescent="0.2"/>
    <row r="32" spans="2:2" s="11" customFormat="1" x14ac:dyDescent="0.2">
      <c r="B32" s="11" t="s">
        <v>103</v>
      </c>
    </row>
    <row r="33" spans="2:9" s="11" customFormat="1" x14ac:dyDescent="0.2">
      <c r="B33" s="11" t="s">
        <v>104</v>
      </c>
      <c r="F33" s="22">
        <v>0.16669999999999999</v>
      </c>
      <c r="G33" s="11" t="s">
        <v>105</v>
      </c>
      <c r="H33" s="22">
        <v>0.14499999999999999</v>
      </c>
    </row>
    <row r="34" spans="2:9" s="11" customFormat="1" x14ac:dyDescent="0.2"/>
    <row r="35" spans="2:9" s="11" customFormat="1" x14ac:dyDescent="0.2"/>
    <row r="36" spans="2:9" s="11" customFormat="1" x14ac:dyDescent="0.2"/>
    <row r="37" spans="2:9" s="11" customFormat="1" x14ac:dyDescent="0.2">
      <c r="B37" s="33"/>
      <c r="C37" s="33"/>
      <c r="D37" s="33"/>
      <c r="E37" s="33" t="s">
        <v>106</v>
      </c>
      <c r="F37" s="33" t="s">
        <v>107</v>
      </c>
      <c r="G37" s="33" t="s">
        <v>108</v>
      </c>
      <c r="H37" s="33" t="s">
        <v>109</v>
      </c>
      <c r="I37" s="33" t="s">
        <v>110</v>
      </c>
    </row>
    <row r="38" spans="2:9" s="11" customFormat="1" x14ac:dyDescent="0.2">
      <c r="B38" s="11" t="s">
        <v>111</v>
      </c>
      <c r="E38" s="31">
        <v>0.1</v>
      </c>
      <c r="F38" s="31">
        <v>0.1</v>
      </c>
      <c r="G38" s="31">
        <v>0.1</v>
      </c>
      <c r="H38" s="31">
        <v>0.1</v>
      </c>
      <c r="I38" s="31">
        <v>0.1</v>
      </c>
    </row>
    <row r="39" spans="2:9" s="11" customFormat="1" x14ac:dyDescent="0.2">
      <c r="B39" s="11" t="s">
        <v>112</v>
      </c>
      <c r="E39" s="22">
        <v>0.16669999999999999</v>
      </c>
      <c r="F39" s="31">
        <v>0.16</v>
      </c>
      <c r="G39" s="22">
        <v>0.155</v>
      </c>
      <c r="H39" s="31">
        <v>0.15</v>
      </c>
      <c r="I39" s="22">
        <v>0.14499999999999999</v>
      </c>
    </row>
    <row r="40" spans="2:9" s="11" customFormat="1" x14ac:dyDescent="0.2">
      <c r="B40" s="11" t="s">
        <v>113</v>
      </c>
      <c r="E40" s="31">
        <v>0.4</v>
      </c>
      <c r="F40" s="31">
        <v>0.4</v>
      </c>
      <c r="G40" s="31">
        <v>0.4</v>
      </c>
      <c r="H40" s="31">
        <v>0.4</v>
      </c>
      <c r="I40" s="31">
        <v>0.4</v>
      </c>
    </row>
    <row r="41" spans="2:9" s="11" customFormat="1" x14ac:dyDescent="0.2">
      <c r="B41" s="11" t="s">
        <v>114</v>
      </c>
      <c r="E41" s="22">
        <v>0.33329999999999999</v>
      </c>
      <c r="F41" s="22">
        <v>0.33329999999999999</v>
      </c>
      <c r="G41" s="22">
        <v>0.33329999999999999</v>
      </c>
      <c r="H41" s="22">
        <v>0.33329999999999999</v>
      </c>
      <c r="I41" s="22">
        <v>0.33329999999999999</v>
      </c>
    </row>
    <row r="42" spans="2:9" s="11" customFormat="1" x14ac:dyDescent="0.2">
      <c r="B42" s="11" t="s">
        <v>115</v>
      </c>
      <c r="E42" s="31">
        <v>0.15</v>
      </c>
      <c r="F42" s="31">
        <v>0.15</v>
      </c>
      <c r="G42" s="31">
        <v>0.15</v>
      </c>
      <c r="H42" s="31">
        <v>0.15</v>
      </c>
      <c r="I42" s="31">
        <v>0.15</v>
      </c>
    </row>
    <row r="43" spans="2:9" s="11" customFormat="1" x14ac:dyDescent="0.2"/>
    <row r="44" spans="2:9" s="11" customFormat="1" x14ac:dyDescent="0.2">
      <c r="B44" s="11" t="s">
        <v>116</v>
      </c>
    </row>
    <row r="45" spans="2:9" s="11" customFormat="1" x14ac:dyDescent="0.2">
      <c r="B45" s="11" t="s">
        <v>117</v>
      </c>
      <c r="D45" s="11">
        <v>3000</v>
      </c>
      <c r="E45" s="34">
        <f>+$D$45+E38*$D$45</f>
        <v>3300</v>
      </c>
      <c r="F45" s="34">
        <f>+$E$45+F38*$E$45</f>
        <v>3630</v>
      </c>
      <c r="G45" s="34">
        <f>+F45+G38*F45</f>
        <v>3993</v>
      </c>
      <c r="H45" s="34">
        <f t="shared" ref="H45:I45" si="0">+G45+H38*G45</f>
        <v>4392.3</v>
      </c>
      <c r="I45" s="34">
        <f t="shared" si="0"/>
        <v>4831.5300000000007</v>
      </c>
    </row>
    <row r="46" spans="2:9" s="11" customFormat="1" x14ac:dyDescent="0.2">
      <c r="B46" s="11" t="s">
        <v>118</v>
      </c>
      <c r="E46" s="34">
        <f>+E39*E45</f>
        <v>550.11</v>
      </c>
      <c r="F46" s="34">
        <f t="shared" ref="F46:I46" si="1">+F39*F45</f>
        <v>580.80000000000007</v>
      </c>
      <c r="G46" s="34">
        <f t="shared" si="1"/>
        <v>618.91499999999996</v>
      </c>
      <c r="H46" s="34">
        <f t="shared" si="1"/>
        <v>658.84500000000003</v>
      </c>
      <c r="I46" s="34">
        <f t="shared" si="1"/>
        <v>700.57185000000004</v>
      </c>
    </row>
    <row r="47" spans="2:9" s="11" customFormat="1" x14ac:dyDescent="0.2">
      <c r="B47" s="11" t="s">
        <v>70</v>
      </c>
      <c r="E47" s="34">
        <f>+E46*(1-E40)</f>
        <v>330.06599999999997</v>
      </c>
      <c r="F47" s="34">
        <f t="shared" ref="F47:I47" si="2">+F46*(1-F40)</f>
        <v>348.48</v>
      </c>
      <c r="G47" s="34">
        <f t="shared" si="2"/>
        <v>371.34899999999999</v>
      </c>
      <c r="H47" s="34">
        <f t="shared" si="2"/>
        <v>395.30700000000002</v>
      </c>
      <c r="I47" s="34">
        <f t="shared" si="2"/>
        <v>420.34311000000002</v>
      </c>
    </row>
    <row r="48" spans="2:9" s="11" customFormat="1" x14ac:dyDescent="0.2">
      <c r="B48" s="11" t="s">
        <v>114</v>
      </c>
      <c r="E48" s="34">
        <f>+(E45-D45)*E41</f>
        <v>99.99</v>
      </c>
      <c r="F48" s="34">
        <f>+(F45-E45)*F41</f>
        <v>109.98899999999999</v>
      </c>
      <c r="G48" s="34">
        <f t="shared" ref="G48:I48" si="3">+(G45-F45)*G41</f>
        <v>120.9879</v>
      </c>
      <c r="H48" s="34">
        <f t="shared" si="3"/>
        <v>133.08669000000006</v>
      </c>
      <c r="I48" s="34">
        <f t="shared" si="3"/>
        <v>146.39535900000016</v>
      </c>
    </row>
    <row r="49" spans="1:9" s="11" customFormat="1" x14ac:dyDescent="0.2">
      <c r="B49" s="11" t="s">
        <v>114</v>
      </c>
      <c r="E49" s="34">
        <f>+(E45-D45)*E42</f>
        <v>45</v>
      </c>
      <c r="F49" s="34">
        <f t="shared" ref="F49:I49" si="4">+(F45-E45)*F42</f>
        <v>49.5</v>
      </c>
      <c r="G49" s="34">
        <f t="shared" si="4"/>
        <v>54.449999999999996</v>
      </c>
      <c r="H49" s="34">
        <f t="shared" si="4"/>
        <v>59.895000000000024</v>
      </c>
      <c r="I49" s="34">
        <f t="shared" si="4"/>
        <v>65.884500000000074</v>
      </c>
    </row>
    <row r="50" spans="1:9" s="11" customFormat="1" x14ac:dyDescent="0.2">
      <c r="E50" s="34"/>
      <c r="F50" s="34"/>
      <c r="G50" s="34"/>
      <c r="H50" s="34"/>
      <c r="I50" s="34"/>
    </row>
    <row r="51" spans="1:9" s="11" customFormat="1" x14ac:dyDescent="0.2">
      <c r="B51" s="14" t="s">
        <v>62</v>
      </c>
      <c r="C51" s="14"/>
      <c r="D51" s="14"/>
      <c r="E51" s="168">
        <f>+E47-E48-E49</f>
        <v>185.07599999999996</v>
      </c>
      <c r="F51" s="168">
        <f t="shared" ref="F51:I51" si="5">+F47-F48-F49</f>
        <v>188.99100000000004</v>
      </c>
      <c r="G51" s="168">
        <f t="shared" si="5"/>
        <v>195.9111</v>
      </c>
      <c r="H51" s="168">
        <f t="shared" si="5"/>
        <v>202.32530999999989</v>
      </c>
      <c r="I51" s="168">
        <f t="shared" si="5"/>
        <v>208.06325099999981</v>
      </c>
    </row>
    <row r="52" spans="1:9" s="11" customFormat="1" x14ac:dyDescent="0.2"/>
    <row r="53" spans="1:9" s="11" customFormat="1" x14ac:dyDescent="0.2">
      <c r="F53" s="30">
        <f>+(F51-E51)/E51</f>
        <v>2.1153472087143001E-2</v>
      </c>
      <c r="G53" s="30">
        <f t="shared" ref="G53:I53" si="6">+(G51-F51)/F51</f>
        <v>3.6616029334730016E-2</v>
      </c>
      <c r="H53" s="30">
        <f t="shared" si="6"/>
        <v>3.2740411339632534E-2</v>
      </c>
      <c r="I53" s="30">
        <f t="shared" si="6"/>
        <v>2.8359976317347168E-2</v>
      </c>
    </row>
    <row r="54" spans="1:9" s="11" customFormat="1" x14ac:dyDescent="0.2">
      <c r="F54" s="169"/>
      <c r="G54" s="169"/>
      <c r="H54" s="169"/>
      <c r="I54" s="169"/>
    </row>
    <row r="55" spans="1:9" s="11" customFormat="1" x14ac:dyDescent="0.2"/>
    <row r="56" spans="1:9" s="11" customFormat="1" x14ac:dyDescent="0.2"/>
    <row r="57" spans="1:9" s="11" customFormat="1" x14ac:dyDescent="0.2">
      <c r="B57" s="11" t="s">
        <v>114</v>
      </c>
      <c r="F57" s="170">
        <f>+(F48-E48)/E48</f>
        <v>9.9999999999999964E-2</v>
      </c>
      <c r="G57" s="170">
        <f t="shared" ref="G57:I58" si="7">+(G48-F48)/F48</f>
        <v>0.10000000000000006</v>
      </c>
      <c r="H57" s="170">
        <f t="shared" si="7"/>
        <v>0.10000000000000055</v>
      </c>
      <c r="I57" s="170">
        <f t="shared" si="7"/>
        <v>0.10000000000000066</v>
      </c>
    </row>
    <row r="58" spans="1:9" s="11" customFormat="1" x14ac:dyDescent="0.2">
      <c r="B58" s="11" t="s">
        <v>115</v>
      </c>
      <c r="F58" s="170">
        <f>+(F49-E49)/E49</f>
        <v>0.1</v>
      </c>
      <c r="G58" s="170">
        <f t="shared" si="7"/>
        <v>9.9999999999999908E-2</v>
      </c>
      <c r="H58" s="170">
        <f t="shared" si="7"/>
        <v>0.10000000000000053</v>
      </c>
      <c r="I58" s="170">
        <f t="shared" si="7"/>
        <v>0.10000000000000078</v>
      </c>
    </row>
    <row r="59" spans="1:9" s="11" customFormat="1" x14ac:dyDescent="0.2"/>
    <row r="60" spans="1:9" s="11" customFormat="1" x14ac:dyDescent="0.2"/>
    <row r="61" spans="1:9" s="11" customFormat="1" x14ac:dyDescent="0.2"/>
    <row r="62" spans="1:9" s="11" customFormat="1" x14ac:dyDescent="0.2"/>
    <row r="63" spans="1:9" s="175" customFormat="1" ht="64" customHeight="1" x14ac:dyDescent="0.2">
      <c r="A63" s="174" t="s">
        <v>718</v>
      </c>
    </row>
    <row r="64" spans="1:9" s="11" customFormat="1" ht="20" x14ac:dyDescent="0.2">
      <c r="B64" s="10" t="s">
        <v>610</v>
      </c>
    </row>
    <row r="65" spans="2:8" s="11" customFormat="1" x14ac:dyDescent="0.2"/>
    <row r="66" spans="2:8" s="11" customFormat="1" x14ac:dyDescent="0.2">
      <c r="B66" s="11" t="s">
        <v>611</v>
      </c>
    </row>
    <row r="67" spans="2:8" s="11" customFormat="1" x14ac:dyDescent="0.2">
      <c r="B67" s="11" t="s">
        <v>612</v>
      </c>
    </row>
    <row r="68" spans="2:8" s="11" customFormat="1" x14ac:dyDescent="0.2"/>
    <row r="69" spans="2:8" s="11" customFormat="1" x14ac:dyDescent="0.2">
      <c r="B69" s="33"/>
      <c r="C69" s="112"/>
      <c r="D69" s="33" t="s">
        <v>613</v>
      </c>
      <c r="E69" s="33"/>
      <c r="F69" s="33" t="s">
        <v>614</v>
      </c>
      <c r="G69" s="33"/>
      <c r="H69" s="11" t="s">
        <v>719</v>
      </c>
    </row>
    <row r="70" spans="2:8" s="11" customFormat="1" x14ac:dyDescent="0.2">
      <c r="B70" s="11" t="s">
        <v>615</v>
      </c>
      <c r="D70" s="11">
        <v>400</v>
      </c>
      <c r="F70" s="31">
        <v>0.08</v>
      </c>
      <c r="H70" s="11">
        <f>+D70/D73</f>
        <v>0.4</v>
      </c>
    </row>
    <row r="71" spans="2:8" s="11" customFormat="1" x14ac:dyDescent="0.2">
      <c r="B71" s="11" t="s">
        <v>616</v>
      </c>
      <c r="C71" s="14"/>
      <c r="D71" s="11">
        <v>100</v>
      </c>
      <c r="F71" s="31">
        <v>0.08</v>
      </c>
      <c r="H71" s="11">
        <f>+D71/D73</f>
        <v>0.1</v>
      </c>
    </row>
    <row r="72" spans="2:8" s="11" customFormat="1" x14ac:dyDescent="0.2">
      <c r="B72" s="11" t="s">
        <v>617</v>
      </c>
      <c r="D72" s="11">
        <v>500</v>
      </c>
      <c r="F72" s="31">
        <v>0.12</v>
      </c>
      <c r="H72" s="23">
        <f>+D72/D73</f>
        <v>0.5</v>
      </c>
    </row>
    <row r="73" spans="2:8" s="11" customFormat="1" x14ac:dyDescent="0.2">
      <c r="D73" s="173">
        <f>+SUM(D70:D72)</f>
        <v>1000</v>
      </c>
      <c r="H73" s="23"/>
    </row>
    <row r="74" spans="2:8" s="11" customFormat="1" x14ac:dyDescent="0.2">
      <c r="B74" s="11" t="s">
        <v>618</v>
      </c>
      <c r="D74" s="31"/>
      <c r="H74" s="23"/>
    </row>
    <row r="75" spans="2:8" s="11" customFormat="1" x14ac:dyDescent="0.2">
      <c r="C75" s="15"/>
    </row>
    <row r="76" spans="2:8" s="11" customFormat="1" x14ac:dyDescent="0.2">
      <c r="B76" s="11" t="s">
        <v>619</v>
      </c>
      <c r="C76" s="15"/>
      <c r="F76" s="11">
        <v>110</v>
      </c>
    </row>
    <row r="77" spans="2:8" s="11" customFormat="1" x14ac:dyDescent="0.2">
      <c r="B77" s="11" t="s">
        <v>620</v>
      </c>
      <c r="C77" s="15"/>
      <c r="F77" s="11">
        <v>32</v>
      </c>
    </row>
    <row r="78" spans="2:8" s="11" customFormat="1" x14ac:dyDescent="0.2">
      <c r="B78" s="11" t="s">
        <v>621</v>
      </c>
      <c r="F78" s="11">
        <v>8</v>
      </c>
    </row>
    <row r="79" spans="2:8" s="11" customFormat="1" x14ac:dyDescent="0.2">
      <c r="B79" s="11" t="s">
        <v>622</v>
      </c>
      <c r="C79" s="15"/>
      <c r="F79" s="11">
        <v>40</v>
      </c>
    </row>
    <row r="80" spans="2:8" s="11" customFormat="1" x14ac:dyDescent="0.2">
      <c r="B80" s="11" t="s">
        <v>623</v>
      </c>
      <c r="C80" s="15"/>
      <c r="F80" s="11">
        <v>70</v>
      </c>
    </row>
    <row r="81" spans="1:11" s="11" customFormat="1" x14ac:dyDescent="0.2">
      <c r="B81" s="11" t="s">
        <v>624</v>
      </c>
      <c r="C81" s="15"/>
      <c r="F81" s="11">
        <v>20</v>
      </c>
    </row>
    <row r="82" spans="1:11" s="11" customFormat="1" x14ac:dyDescent="0.2">
      <c r="B82" s="11" t="s">
        <v>625</v>
      </c>
      <c r="C82" s="15"/>
      <c r="F82" s="11">
        <v>25</v>
      </c>
    </row>
    <row r="83" spans="1:11" s="11" customFormat="1" x14ac:dyDescent="0.2">
      <c r="B83" s="11" t="s">
        <v>94</v>
      </c>
      <c r="F83" s="22">
        <v>0.3</v>
      </c>
    </row>
    <row r="84" spans="1:11" s="11" customFormat="1" x14ac:dyDescent="0.2">
      <c r="B84" s="11" t="s">
        <v>626</v>
      </c>
      <c r="F84" s="31">
        <v>0.04</v>
      </c>
    </row>
    <row r="85" spans="1:11" s="11" customFormat="1" x14ac:dyDescent="0.2">
      <c r="B85" s="11" t="s">
        <v>627</v>
      </c>
      <c r="F85" s="22">
        <v>5.3999999999999999E-2</v>
      </c>
    </row>
    <row r="86" spans="1:11" s="11" customFormat="1" x14ac:dyDescent="0.2"/>
    <row r="87" spans="1:11" s="11" customFormat="1" x14ac:dyDescent="0.2"/>
    <row r="88" spans="1:11" s="11" customFormat="1" x14ac:dyDescent="0.2"/>
    <row r="89" spans="1:11" s="11" customFormat="1" x14ac:dyDescent="0.2">
      <c r="B89" s="11" t="s">
        <v>628</v>
      </c>
    </row>
    <row r="90" spans="1:11" s="11" customFormat="1" x14ac:dyDescent="0.2"/>
    <row r="91" spans="1:11" s="11" customFormat="1" x14ac:dyDescent="0.2">
      <c r="A91" s="24"/>
      <c r="B91" s="25"/>
      <c r="C91" s="24"/>
      <c r="D91" s="24"/>
      <c r="E91" s="24"/>
      <c r="F91" s="24"/>
      <c r="G91" s="24"/>
      <c r="H91" s="24"/>
      <c r="I91" s="24"/>
      <c r="J91" s="24"/>
      <c r="K91" s="24"/>
    </row>
    <row r="92" spans="1:11" s="11" customFormat="1" x14ac:dyDescent="0.2">
      <c r="A92" s="24"/>
      <c r="B92" s="24" t="s">
        <v>629</v>
      </c>
      <c r="C92" s="171"/>
      <c r="D92" s="32">
        <f>+H70*F70*(1-F83)+H71*F71+H72*F72</f>
        <v>9.0399999999999994E-2</v>
      </c>
      <c r="E92" s="24"/>
      <c r="F92" s="24"/>
      <c r="G92" s="24"/>
      <c r="H92" s="24"/>
      <c r="I92" s="24"/>
      <c r="J92" s="24"/>
      <c r="K92" s="24"/>
    </row>
    <row r="93" spans="1:11" s="11" customFormat="1" x14ac:dyDescent="0.2">
      <c r="A93" s="24"/>
      <c r="B93" s="24"/>
      <c r="C93" s="24"/>
      <c r="D93" s="24"/>
      <c r="E93" s="24"/>
      <c r="F93" s="24"/>
      <c r="G93" s="24"/>
      <c r="H93" s="24"/>
      <c r="I93" s="24"/>
      <c r="J93" s="24"/>
      <c r="K93" s="24"/>
    </row>
    <row r="94" spans="1:11" s="11" customFormat="1" x14ac:dyDescent="0.2"/>
    <row r="95" spans="1:11" s="11" customFormat="1" x14ac:dyDescent="0.2">
      <c r="B95" s="11" t="s">
        <v>630</v>
      </c>
    </row>
    <row r="96" spans="1:11" s="11" customFormat="1" x14ac:dyDescent="0.2"/>
    <row r="97" spans="1:11" s="11" customFormat="1" x14ac:dyDescent="0.2">
      <c r="A97" s="24"/>
      <c r="B97" s="24"/>
      <c r="C97" s="24"/>
      <c r="D97" s="24"/>
      <c r="E97" s="24"/>
      <c r="F97" s="24"/>
      <c r="G97" s="24"/>
      <c r="H97" s="24"/>
      <c r="I97" s="24"/>
      <c r="J97" s="24"/>
      <c r="K97" s="24"/>
    </row>
    <row r="98" spans="1:11" s="11" customFormat="1" x14ac:dyDescent="0.2">
      <c r="A98" s="24"/>
      <c r="B98" s="25" t="s">
        <v>631</v>
      </c>
      <c r="C98" s="24"/>
      <c r="D98" s="24"/>
      <c r="E98" s="24"/>
      <c r="F98" s="24"/>
      <c r="G98" s="24"/>
      <c r="H98" s="24"/>
      <c r="I98" s="24"/>
      <c r="J98" s="24"/>
      <c r="K98" s="24"/>
    </row>
    <row r="99" spans="1:11" s="11" customFormat="1" x14ac:dyDescent="0.2">
      <c r="A99" s="24"/>
      <c r="B99" s="25"/>
      <c r="C99" s="24"/>
      <c r="D99" s="24"/>
      <c r="E99" s="24"/>
      <c r="F99" s="24"/>
      <c r="G99" s="24"/>
      <c r="H99" s="24"/>
      <c r="I99" s="24"/>
      <c r="J99" s="24"/>
      <c r="K99" s="24"/>
    </row>
    <row r="100" spans="1:11" s="11" customFormat="1" x14ac:dyDescent="0.2">
      <c r="A100" s="24"/>
      <c r="B100" s="25" t="s">
        <v>632</v>
      </c>
      <c r="C100" s="24"/>
      <c r="D100" s="24"/>
      <c r="E100" s="24"/>
      <c r="F100" s="24"/>
      <c r="G100" s="24"/>
      <c r="H100" s="24"/>
      <c r="I100" s="24"/>
      <c r="J100" s="24"/>
      <c r="K100" s="24"/>
    </row>
    <row r="101" spans="1:11" s="11" customFormat="1" x14ac:dyDescent="0.2">
      <c r="A101" s="24"/>
      <c r="B101" s="25"/>
      <c r="C101" s="24"/>
      <c r="D101" s="24"/>
      <c r="E101" s="24" t="s">
        <v>633</v>
      </c>
      <c r="F101" s="24"/>
      <c r="G101" s="24"/>
      <c r="H101" s="24"/>
      <c r="I101" s="24"/>
      <c r="J101" s="24"/>
      <c r="K101" s="24"/>
    </row>
    <row r="102" spans="1:11" s="11" customFormat="1" x14ac:dyDescent="0.2">
      <c r="A102" s="24"/>
      <c r="B102" s="25"/>
      <c r="C102" s="24"/>
      <c r="D102" s="24"/>
      <c r="E102" s="24"/>
      <c r="F102" s="24"/>
      <c r="G102" s="24"/>
      <c r="H102" s="24"/>
      <c r="I102" s="24"/>
      <c r="J102" s="24"/>
      <c r="K102" s="24"/>
    </row>
    <row r="103" spans="1:11" s="11" customFormat="1" x14ac:dyDescent="0.2">
      <c r="A103" s="24"/>
      <c r="B103" s="25" t="s">
        <v>634</v>
      </c>
      <c r="C103" s="24"/>
      <c r="D103" s="24"/>
      <c r="E103" s="24"/>
      <c r="F103" s="24"/>
      <c r="G103" s="24"/>
      <c r="H103" s="24"/>
      <c r="I103" s="24"/>
      <c r="J103" s="24"/>
      <c r="K103" s="24"/>
    </row>
    <row r="104" spans="1:11" s="11" customFormat="1" x14ac:dyDescent="0.2">
      <c r="A104" s="24"/>
      <c r="B104" s="25" t="s">
        <v>577</v>
      </c>
      <c r="C104" s="24"/>
      <c r="D104" s="24"/>
      <c r="E104" s="24">
        <f>+F76</f>
        <v>110</v>
      </c>
      <c r="F104" s="24"/>
      <c r="G104" s="24"/>
      <c r="H104" s="24"/>
      <c r="I104" s="24"/>
      <c r="J104" s="24"/>
      <c r="K104" s="24"/>
    </row>
    <row r="105" spans="1:11" s="11" customFormat="1" x14ac:dyDescent="0.2">
      <c r="A105" s="24"/>
      <c r="B105" s="25" t="s">
        <v>635</v>
      </c>
      <c r="C105" s="24"/>
      <c r="D105" s="24"/>
      <c r="E105" s="24">
        <f>+F79</f>
        <v>40</v>
      </c>
      <c r="F105" s="24"/>
      <c r="G105" s="24"/>
      <c r="H105" s="24"/>
      <c r="I105" s="24"/>
      <c r="J105" s="24"/>
      <c r="K105" s="24"/>
    </row>
    <row r="106" spans="1:11" s="11" customFormat="1" x14ac:dyDescent="0.2">
      <c r="A106" s="24"/>
      <c r="B106" s="25" t="s">
        <v>636</v>
      </c>
      <c r="C106" s="24"/>
      <c r="D106" s="24"/>
      <c r="E106" s="24">
        <f>+F77*(1-F83)</f>
        <v>22.4</v>
      </c>
      <c r="F106" s="24"/>
      <c r="G106" s="24"/>
      <c r="H106" s="24"/>
      <c r="I106" s="24"/>
      <c r="J106" s="24"/>
      <c r="K106" s="24"/>
    </row>
    <row r="107" spans="1:11" s="11" customFormat="1" x14ac:dyDescent="0.2">
      <c r="A107" s="24"/>
      <c r="B107" s="25" t="s">
        <v>637</v>
      </c>
      <c r="C107" s="24"/>
      <c r="D107" s="24"/>
      <c r="E107" s="24">
        <f>+F78</f>
        <v>8</v>
      </c>
      <c r="F107" s="24"/>
      <c r="G107" s="24"/>
      <c r="H107" s="24"/>
      <c r="I107" s="24"/>
      <c r="J107" s="24"/>
      <c r="K107" s="24"/>
    </row>
    <row r="108" spans="1:11" s="11" customFormat="1" x14ac:dyDescent="0.2">
      <c r="A108" s="24"/>
      <c r="B108" s="25" t="s">
        <v>638</v>
      </c>
      <c r="C108" s="24"/>
      <c r="D108" s="24"/>
      <c r="E108" s="24">
        <f>+F80</f>
        <v>70</v>
      </c>
      <c r="F108" s="24"/>
      <c r="G108" s="24"/>
      <c r="H108" s="24"/>
      <c r="I108" s="24"/>
      <c r="J108" s="24"/>
      <c r="K108" s="24"/>
    </row>
    <row r="109" spans="1:11" s="11" customFormat="1" x14ac:dyDescent="0.2">
      <c r="A109" s="24"/>
      <c r="B109" s="25" t="s">
        <v>720</v>
      </c>
      <c r="C109" s="24"/>
      <c r="D109" s="24"/>
      <c r="E109" s="113">
        <f>+F81</f>
        <v>20</v>
      </c>
      <c r="F109" s="24"/>
      <c r="G109" s="24"/>
      <c r="H109" s="24"/>
      <c r="I109" s="24"/>
      <c r="J109" s="24"/>
      <c r="K109" s="24"/>
    </row>
    <row r="110" spans="1:11" s="11" customFormat="1" x14ac:dyDescent="0.2">
      <c r="A110" s="24"/>
      <c r="B110" s="25"/>
      <c r="C110" s="24"/>
      <c r="D110" s="24"/>
      <c r="E110" s="24"/>
      <c r="F110" s="24"/>
      <c r="G110" s="24"/>
      <c r="H110" s="24"/>
      <c r="I110" s="24"/>
      <c r="J110" s="24"/>
      <c r="K110" s="24"/>
    </row>
    <row r="111" spans="1:11" s="11" customFormat="1" x14ac:dyDescent="0.2">
      <c r="A111" s="24"/>
      <c r="B111" s="25" t="s">
        <v>62</v>
      </c>
      <c r="C111" s="172"/>
      <c r="D111" s="24"/>
      <c r="E111" s="24">
        <f>+E104+E105+E106+E107-E108-E109</f>
        <v>90.4</v>
      </c>
      <c r="F111" s="24"/>
      <c r="G111" s="24"/>
      <c r="H111" s="24"/>
      <c r="I111" s="24"/>
      <c r="J111" s="24"/>
      <c r="K111" s="24"/>
    </row>
    <row r="112" spans="1:11" s="11" customFormat="1" x14ac:dyDescent="0.2">
      <c r="A112" s="24"/>
      <c r="B112" s="24"/>
      <c r="C112" s="24"/>
      <c r="D112" s="27"/>
      <c r="E112" s="24"/>
      <c r="F112" s="24"/>
      <c r="G112" s="24"/>
      <c r="H112" s="24"/>
      <c r="I112" s="24"/>
      <c r="J112" s="24"/>
      <c r="K112" s="24"/>
    </row>
    <row r="113" spans="1:11" s="11" customFormat="1" x14ac:dyDescent="0.2"/>
    <row r="114" spans="1:11" s="11" customFormat="1" x14ac:dyDescent="0.2">
      <c r="B114" s="11" t="s">
        <v>640</v>
      </c>
    </row>
    <row r="115" spans="1:11" s="11" customFormat="1" x14ac:dyDescent="0.2"/>
    <row r="116" spans="1:11" s="11" customFormat="1" x14ac:dyDescent="0.2">
      <c r="A116" s="24"/>
      <c r="B116" s="25"/>
      <c r="C116" s="24"/>
      <c r="D116" s="24"/>
      <c r="E116" s="24"/>
      <c r="F116" s="24"/>
      <c r="G116" s="24"/>
      <c r="H116" s="24"/>
      <c r="I116" s="24"/>
      <c r="J116" s="24"/>
      <c r="K116" s="24"/>
    </row>
    <row r="117" spans="1:11" s="11" customFormat="1" x14ac:dyDescent="0.2">
      <c r="A117" s="24"/>
      <c r="B117" s="24"/>
      <c r="C117" s="24"/>
      <c r="D117" s="24">
        <f>+E111*(1+F84)/(D92-F84)</f>
        <v>1865.3968253968258</v>
      </c>
      <c r="E117" s="24"/>
      <c r="F117" s="24"/>
      <c r="G117" s="24"/>
      <c r="H117" s="24"/>
      <c r="I117" s="24"/>
      <c r="J117" s="24"/>
      <c r="K117" s="24"/>
    </row>
    <row r="118" spans="1:11" s="11" customFormat="1" x14ac:dyDescent="0.2">
      <c r="A118" s="24"/>
      <c r="B118" s="24"/>
      <c r="C118" s="28"/>
      <c r="D118" s="24"/>
      <c r="E118" s="24"/>
      <c r="F118" s="29"/>
      <c r="G118" s="24"/>
      <c r="H118" s="24"/>
      <c r="I118" s="24"/>
      <c r="J118" s="24"/>
      <c r="K118" s="24"/>
    </row>
    <row r="119" spans="1:11" s="11" customFormat="1" x14ac:dyDescent="0.2">
      <c r="A119" s="24"/>
      <c r="B119" s="24"/>
      <c r="C119" s="24"/>
      <c r="D119" s="27"/>
      <c r="E119" s="24"/>
      <c r="F119" s="24"/>
      <c r="G119" s="24"/>
      <c r="H119" s="24"/>
      <c r="I119" s="24"/>
      <c r="J119" s="24"/>
      <c r="K119" s="24"/>
    </row>
    <row r="120" spans="1:11" s="11" customFormat="1" x14ac:dyDescent="0.2">
      <c r="A120" s="24"/>
      <c r="B120" s="24"/>
      <c r="C120" s="24"/>
      <c r="D120" s="27"/>
      <c r="E120" s="24"/>
      <c r="F120" s="24"/>
      <c r="G120" s="24"/>
      <c r="H120" s="24"/>
      <c r="I120" s="24"/>
      <c r="J120" s="24"/>
      <c r="K120" s="24"/>
    </row>
    <row r="121" spans="1:11" s="11" customFormat="1" x14ac:dyDescent="0.2">
      <c r="A121" s="24"/>
      <c r="B121" s="24"/>
      <c r="C121" s="24"/>
      <c r="D121" s="27">
        <f>+D117-D70-D71</f>
        <v>1365.3968253968258</v>
      </c>
      <c r="E121" s="24"/>
      <c r="F121" s="24"/>
      <c r="G121" s="24"/>
      <c r="H121" s="24"/>
      <c r="I121" s="24"/>
      <c r="J121" s="24"/>
      <c r="K121" s="24"/>
    </row>
    <row r="122" spans="1:11" s="11" customFormat="1" x14ac:dyDescent="0.2">
      <c r="A122" s="24"/>
      <c r="B122" s="24"/>
      <c r="C122" s="24"/>
      <c r="D122" s="27"/>
      <c r="E122" s="24"/>
      <c r="F122" s="24"/>
      <c r="G122" s="24"/>
      <c r="H122" s="24"/>
      <c r="I122" s="24"/>
      <c r="J122" s="24"/>
      <c r="K122" s="24"/>
    </row>
    <row r="123" spans="1:11" s="11" customFormat="1" x14ac:dyDescent="0.2"/>
    <row r="124" spans="1:11" s="11" customFormat="1" x14ac:dyDescent="0.2">
      <c r="B124" s="11" t="s">
        <v>641</v>
      </c>
    </row>
    <row r="125" spans="1:11" s="11" customFormat="1" x14ac:dyDescent="0.2"/>
    <row r="126" spans="1:11" s="11" customFormat="1" x14ac:dyDescent="0.2">
      <c r="A126" s="24"/>
      <c r="B126" s="24"/>
      <c r="C126" s="24"/>
      <c r="D126" s="24"/>
      <c r="E126" s="24"/>
      <c r="F126" s="24"/>
      <c r="G126" s="24"/>
      <c r="H126" s="24"/>
      <c r="I126" s="24"/>
      <c r="J126" s="24"/>
      <c r="K126" s="24"/>
    </row>
    <row r="127" spans="1:11" s="11" customFormat="1" x14ac:dyDescent="0.2">
      <c r="A127" s="24"/>
      <c r="B127" s="25" t="s">
        <v>631</v>
      </c>
      <c r="C127" s="24"/>
      <c r="D127" s="24"/>
      <c r="E127" s="24"/>
      <c r="F127" s="24"/>
      <c r="G127" s="24"/>
      <c r="H127" s="24"/>
      <c r="I127" s="24"/>
      <c r="J127" s="24"/>
      <c r="K127" s="24"/>
    </row>
    <row r="128" spans="1:11" s="11" customFormat="1" x14ac:dyDescent="0.2">
      <c r="A128" s="24"/>
      <c r="B128" s="25"/>
      <c r="C128" s="28"/>
      <c r="D128" s="24"/>
      <c r="E128" s="24"/>
      <c r="F128" s="29"/>
      <c r="G128" s="24"/>
      <c r="H128" s="24"/>
      <c r="I128" s="24"/>
      <c r="J128" s="24"/>
      <c r="K128" s="24"/>
    </row>
    <row r="129" spans="1:11" s="11" customFormat="1" x14ac:dyDescent="0.2">
      <c r="A129" s="24"/>
      <c r="B129" s="25" t="s">
        <v>632</v>
      </c>
      <c r="C129" s="24"/>
      <c r="D129" s="27"/>
      <c r="E129" s="24"/>
      <c r="F129" s="24"/>
      <c r="G129" s="24"/>
      <c r="H129" s="24"/>
      <c r="I129" s="24"/>
      <c r="J129" s="24"/>
      <c r="K129" s="24"/>
    </row>
    <row r="130" spans="1:11" s="11" customFormat="1" x14ac:dyDescent="0.2">
      <c r="A130" s="24"/>
      <c r="B130" s="25"/>
      <c r="C130" s="24"/>
      <c r="D130" s="24" t="s">
        <v>642</v>
      </c>
      <c r="E130" s="24"/>
      <c r="F130" s="24"/>
      <c r="G130" s="24"/>
      <c r="H130" s="24"/>
      <c r="I130" s="24"/>
      <c r="J130" s="24"/>
      <c r="K130" s="24"/>
    </row>
    <row r="131" spans="1:11" s="11" customFormat="1" x14ac:dyDescent="0.2">
      <c r="A131" s="24"/>
      <c r="B131" s="25"/>
      <c r="C131" s="24"/>
      <c r="D131" s="27"/>
      <c r="E131" s="24"/>
      <c r="F131" s="24"/>
      <c r="G131" s="24"/>
      <c r="H131" s="24"/>
      <c r="I131" s="24"/>
      <c r="J131" s="24"/>
      <c r="K131" s="24"/>
    </row>
    <row r="132" spans="1:11" s="11" customFormat="1" x14ac:dyDescent="0.2">
      <c r="A132" s="24"/>
      <c r="B132" s="25" t="s">
        <v>634</v>
      </c>
      <c r="C132" s="24"/>
      <c r="D132" s="24"/>
      <c r="E132" s="24"/>
      <c r="F132" s="24"/>
      <c r="G132" s="24"/>
      <c r="H132" s="24"/>
      <c r="I132" s="24"/>
      <c r="J132" s="24"/>
      <c r="K132" s="24"/>
    </row>
    <row r="133" spans="1:11" s="11" customFormat="1" x14ac:dyDescent="0.2">
      <c r="A133" s="24"/>
      <c r="B133" s="25" t="s">
        <v>577</v>
      </c>
      <c r="C133" s="24"/>
      <c r="D133" s="24"/>
      <c r="E133" s="24">
        <v>110</v>
      </c>
      <c r="F133" s="24"/>
      <c r="G133" s="24"/>
      <c r="H133" s="24"/>
      <c r="I133" s="24"/>
      <c r="J133" s="24"/>
      <c r="K133" s="24"/>
    </row>
    <row r="134" spans="1:11" s="11" customFormat="1" x14ac:dyDescent="0.2">
      <c r="A134" s="24"/>
      <c r="B134" s="25" t="s">
        <v>635</v>
      </c>
      <c r="C134" s="24"/>
      <c r="D134" s="24"/>
      <c r="E134" s="24">
        <v>40</v>
      </c>
      <c r="F134" s="24"/>
      <c r="G134" s="24"/>
      <c r="H134" s="24"/>
      <c r="I134" s="24"/>
      <c r="J134" s="24"/>
      <c r="K134" s="24"/>
    </row>
    <row r="135" spans="1:11" s="11" customFormat="1" x14ac:dyDescent="0.2">
      <c r="A135" s="24"/>
      <c r="B135" s="25" t="s">
        <v>638</v>
      </c>
      <c r="C135" s="24"/>
      <c r="D135" s="24"/>
      <c r="E135" s="24">
        <f>+E108</f>
        <v>70</v>
      </c>
      <c r="F135" s="24"/>
      <c r="G135" s="24"/>
      <c r="H135" s="24"/>
      <c r="I135" s="24"/>
      <c r="J135" s="24"/>
      <c r="K135" s="24"/>
    </row>
    <row r="136" spans="1:11" s="11" customFormat="1" x14ac:dyDescent="0.2">
      <c r="A136" s="24"/>
      <c r="B136" s="25" t="s">
        <v>639</v>
      </c>
      <c r="C136" s="24"/>
      <c r="D136" s="24"/>
      <c r="E136" s="24">
        <f>+E109</f>
        <v>20</v>
      </c>
      <c r="F136" s="24"/>
      <c r="G136" s="24"/>
      <c r="H136" s="24"/>
      <c r="I136" s="24"/>
      <c r="J136" s="24"/>
      <c r="K136" s="24"/>
    </row>
    <row r="137" spans="1:11" s="11" customFormat="1" x14ac:dyDescent="0.2">
      <c r="A137" s="24"/>
      <c r="B137" s="25" t="s">
        <v>66</v>
      </c>
      <c r="C137" s="24"/>
      <c r="D137" s="24"/>
      <c r="E137" s="24">
        <f>+F82</f>
        <v>25</v>
      </c>
      <c r="F137" s="24"/>
      <c r="G137" s="24"/>
      <c r="H137" s="24"/>
      <c r="I137" s="24"/>
      <c r="J137" s="24"/>
      <c r="K137" s="24"/>
    </row>
    <row r="138" spans="1:11" s="11" customFormat="1" x14ac:dyDescent="0.2">
      <c r="A138" s="24"/>
      <c r="B138" s="25"/>
      <c r="C138" s="24"/>
      <c r="D138" s="24"/>
      <c r="E138" s="113"/>
      <c r="F138" s="24"/>
      <c r="G138" s="24"/>
      <c r="H138" s="24"/>
      <c r="I138" s="24"/>
      <c r="J138" s="24"/>
      <c r="K138" s="24"/>
    </row>
    <row r="139" spans="1:11" s="11" customFormat="1" x14ac:dyDescent="0.2">
      <c r="A139" s="24"/>
      <c r="B139" s="25"/>
      <c r="C139" s="24"/>
      <c r="D139" s="24"/>
      <c r="E139" s="24">
        <f>+E133+E134-E135-E136+E137</f>
        <v>85</v>
      </c>
      <c r="F139" s="24"/>
      <c r="G139" s="24"/>
      <c r="H139" s="24"/>
      <c r="I139" s="24"/>
      <c r="J139" s="24"/>
      <c r="K139" s="24"/>
    </row>
    <row r="140" spans="1:11" s="11" customFormat="1" x14ac:dyDescent="0.2">
      <c r="A140" s="24"/>
      <c r="B140" s="25" t="s">
        <v>67</v>
      </c>
      <c r="C140" s="172"/>
      <c r="D140" s="24"/>
      <c r="E140" s="24"/>
      <c r="F140" s="24"/>
      <c r="G140" s="24"/>
      <c r="H140" s="24"/>
      <c r="I140" s="24"/>
      <c r="J140" s="24"/>
      <c r="K140" s="24"/>
    </row>
    <row r="141" spans="1:11" s="11" customFormat="1" x14ac:dyDescent="0.2">
      <c r="A141" s="24"/>
      <c r="B141" s="25"/>
      <c r="C141" s="24"/>
      <c r="D141" s="27"/>
      <c r="E141" s="24"/>
      <c r="F141" s="24"/>
      <c r="G141" s="24"/>
      <c r="H141" s="24"/>
      <c r="I141" s="24"/>
      <c r="J141" s="24"/>
      <c r="K141" s="24"/>
    </row>
    <row r="142" spans="1:11" s="11" customFormat="1" x14ac:dyDescent="0.2">
      <c r="A142" s="24"/>
      <c r="B142" s="24"/>
      <c r="C142" s="24"/>
      <c r="D142" s="27"/>
      <c r="E142" s="24"/>
      <c r="F142" s="24"/>
      <c r="G142" s="24"/>
      <c r="H142" s="24"/>
      <c r="I142" s="24"/>
      <c r="J142" s="24"/>
      <c r="K142" s="24"/>
    </row>
    <row r="143" spans="1:11" s="11" customFormat="1" x14ac:dyDescent="0.2"/>
    <row r="144" spans="1:11" s="11" customFormat="1" x14ac:dyDescent="0.2">
      <c r="B144" s="11" t="s">
        <v>643</v>
      </c>
    </row>
    <row r="145" spans="1:11" s="11" customFormat="1" x14ac:dyDescent="0.2"/>
    <row r="146" spans="1:11" s="11" customFormat="1" x14ac:dyDescent="0.2">
      <c r="A146" s="24"/>
      <c r="B146" s="24"/>
      <c r="C146" s="24"/>
      <c r="D146" s="24"/>
      <c r="E146" s="24"/>
      <c r="F146" s="24"/>
      <c r="G146" s="24"/>
      <c r="H146" s="24"/>
      <c r="I146" s="24"/>
      <c r="J146" s="24"/>
      <c r="K146" s="24"/>
    </row>
    <row r="147" spans="1:11" s="11" customFormat="1" x14ac:dyDescent="0.2">
      <c r="A147" s="24"/>
      <c r="B147" s="25"/>
      <c r="C147" s="24"/>
      <c r="D147" s="24"/>
      <c r="E147" s="24"/>
      <c r="F147" s="24"/>
      <c r="G147" s="24"/>
      <c r="H147" s="24"/>
      <c r="I147" s="24"/>
      <c r="J147" s="24"/>
      <c r="K147" s="24"/>
    </row>
    <row r="148" spans="1:11" s="11" customFormat="1" x14ac:dyDescent="0.2">
      <c r="A148" s="24"/>
      <c r="B148" s="25"/>
      <c r="C148" s="28"/>
      <c r="D148" s="24">
        <f>+E139*(1+F84)/(D92-F84)</f>
        <v>1753.9682539682542</v>
      </c>
      <c r="E148" s="24"/>
      <c r="F148" s="29"/>
      <c r="G148" s="24"/>
      <c r="H148" s="24"/>
      <c r="I148" s="24"/>
      <c r="J148" s="24"/>
      <c r="K148" s="24"/>
    </row>
    <row r="149" spans="1:11" s="11" customFormat="1" x14ac:dyDescent="0.2">
      <c r="A149" s="24"/>
      <c r="B149" s="25"/>
      <c r="C149" s="24"/>
      <c r="D149" s="27"/>
      <c r="E149" s="24"/>
      <c r="F149" s="24"/>
      <c r="G149" s="24"/>
      <c r="H149" s="24"/>
      <c r="I149" s="24"/>
      <c r="J149" s="24"/>
      <c r="K149" s="24"/>
    </row>
    <row r="150" spans="1:11" s="11" customFormat="1" x14ac:dyDescent="0.2">
      <c r="A150" s="24"/>
      <c r="B150" s="25"/>
      <c r="C150" s="24"/>
      <c r="D150" s="27"/>
      <c r="E150" s="24"/>
      <c r="F150" s="24"/>
      <c r="G150" s="24"/>
      <c r="H150" s="24"/>
      <c r="I150" s="24"/>
      <c r="J150" s="24"/>
      <c r="K150" s="24"/>
    </row>
    <row r="151" spans="1:11" s="11" customFormat="1" x14ac:dyDescent="0.2">
      <c r="A151" s="24"/>
      <c r="B151" s="25"/>
      <c r="C151" s="24"/>
      <c r="D151" s="27"/>
      <c r="E151" s="24"/>
      <c r="F151" s="24"/>
      <c r="G151" s="24"/>
      <c r="H151" s="24"/>
      <c r="I151" s="24"/>
      <c r="J151" s="24"/>
      <c r="K151" s="24"/>
    </row>
    <row r="156" spans="1:11" s="175" customFormat="1" ht="64" customHeight="1" x14ac:dyDescent="0.2">
      <c r="A156" s="174" t="s">
        <v>721</v>
      </c>
    </row>
    <row r="158" spans="1:11" x14ac:dyDescent="0.2">
      <c r="A158" t="s">
        <v>722</v>
      </c>
    </row>
    <row r="164" spans="7:7" x14ac:dyDescent="0.2">
      <c r="G164" t="s">
        <v>723</v>
      </c>
    </row>
    <row r="167" spans="7:7" x14ac:dyDescent="0.2">
      <c r="G167" t="s">
        <v>723</v>
      </c>
    </row>
    <row r="171" spans="7:7" x14ac:dyDescent="0.2">
      <c r="G171" t="s">
        <v>724</v>
      </c>
    </row>
    <row r="177" spans="7:7" x14ac:dyDescent="0.2">
      <c r="G177" s="110"/>
    </row>
    <row r="179" spans="7:7" x14ac:dyDescent="0.2">
      <c r="G179" s="110"/>
    </row>
    <row r="180" spans="7:7" x14ac:dyDescent="0.2">
      <c r="G180" s="176"/>
    </row>
    <row r="181" spans="7:7" x14ac:dyDescent="0.2">
      <c r="G181" s="110"/>
    </row>
    <row r="182" spans="7:7" x14ac:dyDescent="0.2">
      <c r="G182" s="110"/>
    </row>
    <row r="183" spans="7:7" x14ac:dyDescent="0.2">
      <c r="G183" s="110"/>
    </row>
    <row r="184" spans="7:7" x14ac:dyDescent="0.2">
      <c r="G184" s="110"/>
    </row>
    <row r="185" spans="7:7" x14ac:dyDescent="0.2">
      <c r="G185" s="110"/>
    </row>
    <row r="186" spans="7:7" x14ac:dyDescent="0.2">
      <c r="G186" s="110"/>
    </row>
    <row r="187" spans="7:7" x14ac:dyDescent="0.2">
      <c r="G187" s="109"/>
    </row>
    <row r="188" spans="7:7" x14ac:dyDescent="0.2">
      <c r="G188" s="109"/>
    </row>
    <row r="189" spans="7:7" x14ac:dyDescent="0.2">
      <c r="G189" s="109"/>
    </row>
    <row r="190" spans="7:7" x14ac:dyDescent="0.2">
      <c r="G190" s="110"/>
    </row>
    <row r="191" spans="7:7" x14ac:dyDescent="0.2">
      <c r="G191" s="110"/>
    </row>
    <row r="192" spans="7:7" x14ac:dyDescent="0.2">
      <c r="G192" s="110"/>
    </row>
    <row r="193" spans="2:7" x14ac:dyDescent="0.2">
      <c r="G193" s="110"/>
    </row>
    <row r="194" spans="2:7" x14ac:dyDescent="0.2">
      <c r="G194" s="177"/>
    </row>
    <row r="199" spans="2:7" x14ac:dyDescent="0.2">
      <c r="G199" s="178"/>
    </row>
    <row r="200" spans="2:7" x14ac:dyDescent="0.2">
      <c r="G200" s="178"/>
    </row>
    <row r="201" spans="2:7" x14ac:dyDescent="0.2">
      <c r="G201" s="178"/>
    </row>
    <row r="205" spans="2:7" s="11" customFormat="1" ht="20" x14ac:dyDescent="0.2">
      <c r="B205" s="10" t="s">
        <v>725</v>
      </c>
    </row>
    <row r="206" spans="2:7" s="11" customFormat="1" x14ac:dyDescent="0.2"/>
    <row r="207" spans="2:7" s="11" customFormat="1" x14ac:dyDescent="0.2">
      <c r="B207" s="11" t="s">
        <v>726</v>
      </c>
    </row>
    <row r="208" spans="2:7" s="11" customFormat="1" x14ac:dyDescent="0.2">
      <c r="B208" s="11" t="s">
        <v>87</v>
      </c>
    </row>
    <row r="209" spans="1:17" s="11" customFormat="1" x14ac:dyDescent="0.2">
      <c r="B209" s="11" t="s">
        <v>663</v>
      </c>
      <c r="C209" s="11">
        <v>3000</v>
      </c>
    </row>
    <row r="210" spans="1:17" s="11" customFormat="1" x14ac:dyDescent="0.2">
      <c r="B210" s="11" t="s">
        <v>88</v>
      </c>
      <c r="C210" s="22"/>
    </row>
    <row r="211" spans="1:17" s="11" customFormat="1" x14ac:dyDescent="0.2">
      <c r="B211" s="11" t="s">
        <v>89</v>
      </c>
    </row>
    <row r="212" spans="1:17" s="11" customFormat="1" x14ac:dyDescent="0.2">
      <c r="B212" s="11" t="s">
        <v>90</v>
      </c>
      <c r="C212" s="14"/>
    </row>
    <row r="213" spans="1:17" s="11" customFormat="1" x14ac:dyDescent="0.2">
      <c r="B213" s="11" t="s">
        <v>91</v>
      </c>
      <c r="C213" s="11" t="s">
        <v>92</v>
      </c>
      <c r="H213" s="23"/>
    </row>
    <row r="214" spans="1:17" s="11" customFormat="1" x14ac:dyDescent="0.2">
      <c r="B214" s="11" t="s">
        <v>727</v>
      </c>
      <c r="D214" s="169">
        <f>240/3000</f>
        <v>0.08</v>
      </c>
      <c r="H214" s="23"/>
    </row>
    <row r="215" spans="1:17" s="11" customFormat="1" x14ac:dyDescent="0.2">
      <c r="B215" s="11" t="s">
        <v>94</v>
      </c>
      <c r="D215" s="31">
        <v>0.4</v>
      </c>
      <c r="H215" s="23"/>
    </row>
    <row r="216" spans="1:17" s="11" customFormat="1" x14ac:dyDescent="0.2">
      <c r="B216" s="11" t="s">
        <v>60</v>
      </c>
      <c r="C216" s="15"/>
      <c r="D216" s="11">
        <v>400</v>
      </c>
      <c r="E216" s="11" t="s">
        <v>95</v>
      </c>
    </row>
    <row r="217" spans="1:17" s="11" customFormat="1" x14ac:dyDescent="0.2">
      <c r="B217" s="11" t="s">
        <v>728</v>
      </c>
      <c r="F217" s="22"/>
    </row>
    <row r="218" spans="1:17" s="11" customFormat="1" x14ac:dyDescent="0.2"/>
    <row r="219" spans="1:17" s="11" customFormat="1" x14ac:dyDescent="0.2"/>
    <row r="220" spans="1:17" s="11" customFormat="1" x14ac:dyDescent="0.2">
      <c r="A220" s="24"/>
      <c r="B220" s="25" t="s">
        <v>96</v>
      </c>
      <c r="C220" s="24"/>
      <c r="D220" s="24"/>
      <c r="E220" s="24"/>
      <c r="F220" s="24"/>
      <c r="G220" s="24"/>
      <c r="H220" s="24"/>
      <c r="I220" s="24"/>
      <c r="J220" s="24"/>
      <c r="K220" s="24"/>
      <c r="M220" s="24"/>
      <c r="N220" s="24"/>
      <c r="O220" s="24"/>
      <c r="P220" s="24"/>
      <c r="Q220" s="24"/>
    </row>
    <row r="221" spans="1:17" s="11" customFormat="1" x14ac:dyDescent="0.2">
      <c r="A221" s="24"/>
      <c r="B221" s="24"/>
      <c r="C221" s="24"/>
      <c r="D221" s="24"/>
      <c r="E221" s="24"/>
      <c r="F221" s="24"/>
      <c r="G221" s="24"/>
      <c r="H221" s="24"/>
      <c r="I221" s="24"/>
      <c r="J221" s="24"/>
      <c r="K221" s="24"/>
      <c r="M221" s="24"/>
      <c r="N221" s="24"/>
      <c r="O221" s="24"/>
      <c r="P221" s="24"/>
      <c r="Q221" s="24"/>
    </row>
    <row r="222" spans="1:17" s="11" customFormat="1" x14ac:dyDescent="0.2">
      <c r="A222" s="24"/>
      <c r="B222" s="24"/>
      <c r="C222" s="24"/>
      <c r="D222" s="24"/>
      <c r="E222" s="24"/>
      <c r="F222" s="24"/>
      <c r="G222" s="24"/>
      <c r="H222" s="24"/>
      <c r="I222" s="24"/>
      <c r="J222" s="24"/>
      <c r="K222" s="24"/>
      <c r="M222" s="24"/>
      <c r="N222" s="24"/>
      <c r="O222" s="24"/>
      <c r="P222" s="24"/>
      <c r="Q222" s="24"/>
    </row>
    <row r="223" spans="1:17" s="11" customFormat="1" x14ac:dyDescent="0.2">
      <c r="A223" s="24"/>
      <c r="B223" s="24"/>
      <c r="C223" s="172"/>
      <c r="D223" s="24"/>
      <c r="E223" s="24"/>
      <c r="F223" s="24"/>
      <c r="G223" s="24"/>
      <c r="H223" s="24"/>
      <c r="I223" s="24"/>
      <c r="J223" s="24"/>
      <c r="K223" s="24"/>
      <c r="M223" s="24"/>
      <c r="N223" s="24"/>
      <c r="O223" s="24"/>
      <c r="P223" s="24"/>
      <c r="Q223" s="24"/>
    </row>
    <row r="224" spans="1:17" s="11" customFormat="1" x14ac:dyDescent="0.2">
      <c r="A224" s="24"/>
      <c r="B224" s="24"/>
      <c r="C224" s="24"/>
      <c r="D224" s="24">
        <f>( 1/3 )</f>
        <v>0.33333333333333331</v>
      </c>
      <c r="E224" s="24"/>
      <c r="F224" s="171"/>
      <c r="G224" s="24"/>
      <c r="H224" s="24"/>
      <c r="I224" s="24"/>
      <c r="J224" s="24"/>
      <c r="K224" s="24"/>
      <c r="M224" s="24"/>
      <c r="N224" s="24"/>
      <c r="O224" s="24"/>
      <c r="P224" s="24"/>
      <c r="Q224" s="24"/>
    </row>
    <row r="225" spans="1:17" s="11" customFormat="1" x14ac:dyDescent="0.2">
      <c r="A225" s="24"/>
      <c r="B225" s="24"/>
      <c r="C225" s="24"/>
      <c r="D225" s="24"/>
      <c r="E225" s="24"/>
      <c r="F225" s="24"/>
      <c r="G225" s="24"/>
      <c r="H225" s="24"/>
      <c r="I225" s="24"/>
      <c r="J225" s="24"/>
      <c r="K225" s="24"/>
      <c r="M225" s="24"/>
      <c r="N225" s="24"/>
      <c r="O225" s="24"/>
      <c r="P225" s="24"/>
      <c r="Q225" s="24"/>
    </row>
    <row r="226" spans="1:17" s="11" customFormat="1" x14ac:dyDescent="0.2"/>
    <row r="227" spans="1:17" s="11" customFormat="1" x14ac:dyDescent="0.2">
      <c r="A227" s="24"/>
      <c r="B227" s="25" t="s">
        <v>97</v>
      </c>
      <c r="C227" s="24"/>
      <c r="D227" s="24"/>
      <c r="E227" s="24"/>
      <c r="F227" s="24"/>
      <c r="G227" s="24"/>
      <c r="H227" s="24"/>
      <c r="I227" s="24"/>
      <c r="J227" s="24"/>
      <c r="K227" s="24"/>
      <c r="M227" s="24"/>
      <c r="N227" s="24"/>
      <c r="O227" s="24"/>
      <c r="P227" s="24"/>
      <c r="Q227" s="24"/>
    </row>
    <row r="228" spans="1:17" s="11" customFormat="1" x14ac:dyDescent="0.2">
      <c r="A228" s="24"/>
      <c r="B228" s="24"/>
      <c r="C228" s="24"/>
      <c r="D228" s="24"/>
      <c r="E228" s="24"/>
      <c r="F228" s="24"/>
      <c r="G228" s="24"/>
      <c r="H228" s="24"/>
      <c r="I228" s="24"/>
      <c r="J228" s="24"/>
      <c r="K228" s="24"/>
      <c r="M228" s="24"/>
      <c r="N228" s="24"/>
      <c r="O228" s="24"/>
      <c r="P228" s="24"/>
      <c r="Q228" s="24"/>
    </row>
    <row r="229" spans="1:17" s="11" customFormat="1" x14ac:dyDescent="0.2">
      <c r="A229" s="24"/>
      <c r="B229" s="24"/>
      <c r="C229" s="24"/>
      <c r="D229" s="24"/>
      <c r="E229" s="24"/>
      <c r="F229" s="24"/>
      <c r="G229" s="24"/>
      <c r="H229" s="24"/>
      <c r="I229" s="24"/>
      <c r="J229" s="24"/>
      <c r="K229" s="24"/>
      <c r="M229" s="24"/>
      <c r="N229" s="24"/>
      <c r="O229" s="24"/>
      <c r="P229" s="24"/>
      <c r="Q229" s="24"/>
    </row>
    <row r="230" spans="1:17" s="11" customFormat="1" x14ac:dyDescent="0.2">
      <c r="A230" s="24"/>
      <c r="B230" s="24"/>
      <c r="C230" s="172"/>
      <c r="D230" s="28">
        <v>0.15</v>
      </c>
      <c r="E230" s="24"/>
      <c r="F230" s="24"/>
      <c r="G230" s="24"/>
      <c r="H230" s="24"/>
      <c r="I230" s="24"/>
      <c r="J230" s="24"/>
      <c r="K230" s="24"/>
      <c r="M230" s="24"/>
      <c r="N230" s="24"/>
      <c r="O230" s="24"/>
      <c r="P230" s="24"/>
      <c r="Q230" s="24"/>
    </row>
    <row r="231" spans="1:17" s="11" customFormat="1" x14ac:dyDescent="0.2">
      <c r="A231" s="24"/>
      <c r="B231" s="24"/>
      <c r="C231" s="24"/>
      <c r="D231" s="27"/>
      <c r="E231" s="24"/>
      <c r="F231" s="24"/>
      <c r="G231" s="24"/>
      <c r="H231" s="24"/>
      <c r="I231" s="24"/>
      <c r="J231" s="24"/>
      <c r="K231" s="24"/>
      <c r="M231" s="24"/>
      <c r="N231" s="24"/>
      <c r="O231" s="24"/>
      <c r="P231" s="24"/>
      <c r="Q231" s="24"/>
    </row>
    <row r="232" spans="1:17" s="11" customFormat="1" x14ac:dyDescent="0.2"/>
    <row r="233" spans="1:17" s="11" customFormat="1" x14ac:dyDescent="0.2">
      <c r="A233" s="24"/>
      <c r="B233" s="25" t="s">
        <v>98</v>
      </c>
      <c r="C233" s="24"/>
      <c r="D233" s="24"/>
      <c r="E233" s="24"/>
      <c r="F233" s="24"/>
      <c r="G233" s="24"/>
      <c r="H233" s="24"/>
      <c r="I233" s="24"/>
      <c r="J233" s="24"/>
      <c r="K233" s="24"/>
      <c r="M233" s="24"/>
      <c r="N233" s="24"/>
      <c r="O233" s="24"/>
      <c r="P233" s="24"/>
      <c r="Q233" s="24"/>
    </row>
    <row r="234" spans="1:17" s="11" customFormat="1" x14ac:dyDescent="0.2">
      <c r="A234" s="24"/>
      <c r="B234" s="24"/>
      <c r="C234" s="24"/>
      <c r="D234" s="24"/>
      <c r="E234" s="24"/>
      <c r="F234" s="24"/>
      <c r="G234" s="24"/>
      <c r="H234" s="24"/>
      <c r="I234" s="24"/>
      <c r="J234" s="24"/>
      <c r="K234" s="24"/>
      <c r="M234" s="24"/>
      <c r="N234" s="24"/>
      <c r="O234" s="24"/>
      <c r="P234" s="24"/>
      <c r="Q234" s="24"/>
    </row>
    <row r="235" spans="1:17" s="11" customFormat="1" x14ac:dyDescent="0.2">
      <c r="A235" s="24"/>
      <c r="B235" s="24" t="s">
        <v>99</v>
      </c>
      <c r="C235" s="28"/>
      <c r="D235" s="24">
        <v>3300</v>
      </c>
      <c r="E235" s="24"/>
      <c r="F235" s="29"/>
      <c r="G235" s="24"/>
      <c r="H235" s="24"/>
      <c r="I235" s="24"/>
      <c r="J235" s="24"/>
      <c r="K235" s="24"/>
      <c r="M235" s="24"/>
      <c r="N235" s="24"/>
      <c r="O235" s="24"/>
      <c r="P235" s="24"/>
      <c r="Q235" s="24"/>
    </row>
    <row r="236" spans="1:17" s="11" customFormat="1" x14ac:dyDescent="0.2">
      <c r="A236" s="24"/>
      <c r="B236" s="24" t="s">
        <v>577</v>
      </c>
      <c r="C236" s="24"/>
      <c r="D236" s="27">
        <f>+D235*D214</f>
        <v>264</v>
      </c>
      <c r="E236" s="24"/>
      <c r="F236" s="24"/>
      <c r="G236" s="24"/>
      <c r="H236" s="24"/>
      <c r="I236" s="24"/>
      <c r="J236" s="24"/>
      <c r="K236" s="24"/>
      <c r="M236" s="24"/>
      <c r="N236" s="24"/>
      <c r="O236" s="24"/>
      <c r="P236" s="24"/>
      <c r="Q236" s="24"/>
    </row>
    <row r="237" spans="1:17" s="11" customFormat="1" x14ac:dyDescent="0.2">
      <c r="A237" s="24"/>
      <c r="B237" s="24" t="s">
        <v>101</v>
      </c>
      <c r="C237" s="24"/>
      <c r="D237" s="24">
        <f>300*D224</f>
        <v>100</v>
      </c>
      <c r="E237" s="24"/>
      <c r="F237" s="24"/>
      <c r="G237" s="24"/>
      <c r="H237" s="24"/>
      <c r="I237" s="24"/>
      <c r="J237" s="24"/>
      <c r="K237" s="24"/>
      <c r="M237" s="24"/>
      <c r="N237" s="24"/>
      <c r="O237" s="24"/>
      <c r="P237" s="24"/>
      <c r="Q237" s="24"/>
    </row>
    <row r="238" spans="1:17" s="11" customFormat="1" x14ac:dyDescent="0.2">
      <c r="A238" s="24"/>
      <c r="B238" s="24" t="s">
        <v>102</v>
      </c>
      <c r="C238" s="24"/>
      <c r="D238" s="24">
        <f>+D230*300</f>
        <v>45</v>
      </c>
      <c r="E238" s="24"/>
      <c r="F238" s="24"/>
      <c r="G238" s="24"/>
      <c r="H238" s="24"/>
      <c r="I238" s="24"/>
      <c r="J238" s="24"/>
      <c r="K238" s="24"/>
      <c r="M238" s="24"/>
      <c r="N238" s="24"/>
      <c r="O238" s="24"/>
      <c r="P238" s="24"/>
      <c r="Q238" s="24"/>
    </row>
    <row r="239" spans="1:17" s="11" customFormat="1" x14ac:dyDescent="0.2">
      <c r="A239" s="24"/>
      <c r="B239" s="24" t="s">
        <v>66</v>
      </c>
      <c r="C239" s="24"/>
      <c r="D239" s="24">
        <f>+(D237+D238)*0.5</f>
        <v>72.5</v>
      </c>
      <c r="E239" s="24" t="s">
        <v>729</v>
      </c>
      <c r="F239" s="24"/>
      <c r="G239" s="24"/>
      <c r="H239" s="24"/>
      <c r="I239" s="24"/>
      <c r="J239" s="24"/>
      <c r="K239" s="24"/>
      <c r="M239" s="24"/>
      <c r="N239" s="24"/>
      <c r="O239" s="24"/>
      <c r="P239" s="24"/>
      <c r="Q239" s="24"/>
    </row>
    <row r="240" spans="1:17" s="11" customFormat="1" x14ac:dyDescent="0.2">
      <c r="A240" s="24"/>
      <c r="B240" s="24" t="s">
        <v>67</v>
      </c>
      <c r="C240" s="24"/>
      <c r="D240" s="27">
        <f>+D236-D237-D238+D239</f>
        <v>191.5</v>
      </c>
      <c r="E240" s="24"/>
      <c r="F240" s="24"/>
      <c r="G240" s="24"/>
      <c r="H240" s="24"/>
      <c r="I240" s="24"/>
      <c r="J240" s="24"/>
      <c r="K240" s="24"/>
      <c r="M240" s="24"/>
      <c r="N240" s="24"/>
      <c r="O240" s="24"/>
      <c r="P240" s="24"/>
      <c r="Q240" s="24"/>
    </row>
    <row r="242" spans="3:3" x14ac:dyDescent="0.2">
      <c r="C242" t="s">
        <v>730</v>
      </c>
    </row>
  </sheetData>
  <pageMargins left="0.7" right="0.7" top="0.75" bottom="0.75" header="0.3" footer="0.3"/>
  <pageSetup paperSize="9" orientation="portrait" horizontalDpi="0" verticalDpi="0"/>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A4E3BA8-8C87-4B45-BA0E-01BC6E112CFB}">
  <dimension ref="A10:L135"/>
  <sheetViews>
    <sheetView showGridLines="0" topLeftCell="A114" zoomScale="161" workbookViewId="0">
      <selection activeCell="I129" sqref="I129"/>
    </sheetView>
  </sheetViews>
  <sheetFormatPr baseColWidth="10" defaultRowHeight="16" x14ac:dyDescent="0.2"/>
  <cols>
    <col min="2" max="2" width="15.1640625" bestFit="1" customWidth="1"/>
    <col min="4" max="4" width="18.83203125" customWidth="1"/>
    <col min="5" max="5" width="15.1640625" bestFit="1" customWidth="1"/>
    <col min="6" max="6" width="16.5" customWidth="1"/>
    <col min="7" max="7" width="13.1640625" bestFit="1" customWidth="1"/>
    <col min="8" max="8" width="16" customWidth="1"/>
    <col min="9" max="9" width="15.1640625" bestFit="1" customWidth="1"/>
  </cols>
  <sheetData>
    <row r="10" spans="1:1" x14ac:dyDescent="0.2">
      <c r="A10" t="s">
        <v>731</v>
      </c>
    </row>
    <row r="11" spans="1:1" x14ac:dyDescent="0.2">
      <c r="A11" t="s">
        <v>732</v>
      </c>
    </row>
    <row r="15" spans="1:1" x14ac:dyDescent="0.2">
      <c r="A15" t="s">
        <v>738</v>
      </c>
    </row>
    <row r="16" spans="1:1" x14ac:dyDescent="0.2">
      <c r="A16" t="s">
        <v>739</v>
      </c>
    </row>
    <row r="17" spans="1:2" x14ac:dyDescent="0.2">
      <c r="A17" t="s">
        <v>740</v>
      </c>
    </row>
    <row r="18" spans="1:2" x14ac:dyDescent="0.2">
      <c r="A18" t="s">
        <v>741</v>
      </c>
    </row>
    <row r="19" spans="1:2" x14ac:dyDescent="0.2">
      <c r="A19" t="s">
        <v>742</v>
      </c>
    </row>
    <row r="25" spans="1:2" x14ac:dyDescent="0.2">
      <c r="A25" t="s">
        <v>738</v>
      </c>
    </row>
    <row r="26" spans="1:2" x14ac:dyDescent="0.2">
      <c r="A26" t="s">
        <v>743</v>
      </c>
      <c r="B26" t="s">
        <v>745</v>
      </c>
    </row>
    <row r="27" spans="1:2" x14ac:dyDescent="0.2">
      <c r="B27" t="s">
        <v>744</v>
      </c>
    </row>
    <row r="28" spans="1:2" x14ac:dyDescent="0.2">
      <c r="B28" t="s">
        <v>746</v>
      </c>
    </row>
    <row r="29" spans="1:2" x14ac:dyDescent="0.2">
      <c r="A29" t="s">
        <v>747</v>
      </c>
      <c r="B29" t="s">
        <v>748</v>
      </c>
    </row>
    <row r="31" spans="1:2" x14ac:dyDescent="0.2">
      <c r="A31" t="s">
        <v>749</v>
      </c>
      <c r="B31" t="s">
        <v>750</v>
      </c>
    </row>
    <row r="32" spans="1:2" x14ac:dyDescent="0.2">
      <c r="B32" t="s">
        <v>751</v>
      </c>
    </row>
    <row r="33" spans="1:9" x14ac:dyDescent="0.2">
      <c r="B33" t="s">
        <v>752</v>
      </c>
    </row>
    <row r="34" spans="1:9" x14ac:dyDescent="0.2">
      <c r="B34" t="s">
        <v>753</v>
      </c>
      <c r="I34" t="s">
        <v>761</v>
      </c>
    </row>
    <row r="35" spans="1:9" x14ac:dyDescent="0.2">
      <c r="C35" t="s">
        <v>754</v>
      </c>
      <c r="D35" t="s">
        <v>759</v>
      </c>
      <c r="I35" t="s">
        <v>762</v>
      </c>
    </row>
    <row r="36" spans="1:9" x14ac:dyDescent="0.2">
      <c r="C36" t="s">
        <v>755</v>
      </c>
      <c r="D36" t="s">
        <v>760</v>
      </c>
    </row>
    <row r="37" spans="1:9" ht="35" customHeight="1" x14ac:dyDescent="0.2">
      <c r="B37" s="39" t="s">
        <v>764</v>
      </c>
      <c r="C37" s="109" t="s">
        <v>756</v>
      </c>
      <c r="D37" t="s">
        <v>763</v>
      </c>
    </row>
    <row r="38" spans="1:9" ht="38" customHeight="1" x14ac:dyDescent="0.2">
      <c r="B38" s="39"/>
      <c r="C38" s="109" t="s">
        <v>757</v>
      </c>
      <c r="D38" s="109" t="s">
        <v>765</v>
      </c>
    </row>
    <row r="39" spans="1:9" x14ac:dyDescent="0.2">
      <c r="C39" t="s">
        <v>758</v>
      </c>
      <c r="D39" t="s">
        <v>766</v>
      </c>
    </row>
    <row r="40" spans="1:9" x14ac:dyDescent="0.2">
      <c r="D40" t="s">
        <v>767</v>
      </c>
    </row>
    <row r="41" spans="1:9" x14ac:dyDescent="0.2">
      <c r="D41" t="s">
        <v>768</v>
      </c>
    </row>
    <row r="42" spans="1:9" x14ac:dyDescent="0.2">
      <c r="D42" t="s">
        <v>769</v>
      </c>
    </row>
    <row r="47" spans="1:9" x14ac:dyDescent="0.2">
      <c r="A47" t="s">
        <v>770</v>
      </c>
    </row>
    <row r="49" spans="1:8" x14ac:dyDescent="0.2">
      <c r="F49" t="s">
        <v>771</v>
      </c>
    </row>
    <row r="53" spans="1:8" ht="19" x14ac:dyDescent="0.25">
      <c r="A53" s="179" t="s">
        <v>772</v>
      </c>
    </row>
    <row r="54" spans="1:8" ht="19" x14ac:dyDescent="0.25">
      <c r="A54" s="179"/>
    </row>
    <row r="55" spans="1:8" x14ac:dyDescent="0.2">
      <c r="A55" t="s">
        <v>773</v>
      </c>
    </row>
    <row r="56" spans="1:8" x14ac:dyDescent="0.2">
      <c r="A56" t="s">
        <v>774</v>
      </c>
    </row>
    <row r="58" spans="1:8" x14ac:dyDescent="0.2">
      <c r="A58" t="s">
        <v>775</v>
      </c>
      <c r="D58" s="180">
        <v>1000000</v>
      </c>
    </row>
    <row r="59" spans="1:8" x14ac:dyDescent="0.2">
      <c r="A59" t="s">
        <v>776</v>
      </c>
      <c r="D59" s="180">
        <v>200000</v>
      </c>
      <c r="F59" t="s">
        <v>781</v>
      </c>
      <c r="G59" t="s">
        <v>782</v>
      </c>
    </row>
    <row r="60" spans="1:8" x14ac:dyDescent="0.2">
      <c r="A60" t="s">
        <v>777</v>
      </c>
      <c r="D60" s="181">
        <v>-100000</v>
      </c>
      <c r="H60" t="s">
        <v>785</v>
      </c>
    </row>
    <row r="61" spans="1:8" x14ac:dyDescent="0.2">
      <c r="A61" t="s">
        <v>778</v>
      </c>
      <c r="D61" s="182">
        <f>SUM(D58:D60)</f>
        <v>1100000</v>
      </c>
      <c r="F61" t="s">
        <v>783</v>
      </c>
      <c r="G61" s="97">
        <f>+D58</f>
        <v>1000000</v>
      </c>
      <c r="H61">
        <f>1/4</f>
        <v>0.25</v>
      </c>
    </row>
    <row r="62" spans="1:8" x14ac:dyDescent="0.2">
      <c r="F62" t="s">
        <v>784</v>
      </c>
      <c r="G62" s="183">
        <f>+G61+D59</f>
        <v>1200000</v>
      </c>
      <c r="H62">
        <v>0.5</v>
      </c>
    </row>
    <row r="63" spans="1:8" x14ac:dyDescent="0.2">
      <c r="A63" t="s">
        <v>779</v>
      </c>
      <c r="F63" t="s">
        <v>786</v>
      </c>
      <c r="G63" s="97">
        <f>+D61</f>
        <v>1100000</v>
      </c>
      <c r="H63" s="42">
        <v>0.25</v>
      </c>
    </row>
    <row r="64" spans="1:8" x14ac:dyDescent="0.2">
      <c r="A64" t="s">
        <v>780</v>
      </c>
    </row>
    <row r="65" spans="1:12" x14ac:dyDescent="0.2">
      <c r="G65" t="s">
        <v>781</v>
      </c>
      <c r="H65" s="183">
        <f>+H63*G63+H62*G62+H61*G61</f>
        <v>1125000</v>
      </c>
    </row>
    <row r="67" spans="1:12" x14ac:dyDescent="0.2">
      <c r="G67" t="s">
        <v>770</v>
      </c>
      <c r="H67" s="183">
        <f>+(2500000 - 200000)/H65</f>
        <v>2.0444444444444443</v>
      </c>
    </row>
    <row r="70" spans="1:12" x14ac:dyDescent="0.2">
      <c r="A70" t="s">
        <v>792</v>
      </c>
      <c r="B70" t="s">
        <v>794</v>
      </c>
      <c r="I70" t="s">
        <v>793</v>
      </c>
    </row>
    <row r="73" spans="1:12" x14ac:dyDescent="0.2">
      <c r="J73" t="s">
        <v>795</v>
      </c>
    </row>
    <row r="74" spans="1:12" x14ac:dyDescent="0.2">
      <c r="L74" t="s">
        <v>796</v>
      </c>
    </row>
    <row r="75" spans="1:12" x14ac:dyDescent="0.2">
      <c r="L75" t="s">
        <v>797</v>
      </c>
    </row>
    <row r="76" spans="1:12" ht="19" x14ac:dyDescent="0.25">
      <c r="A76" s="179" t="s">
        <v>787</v>
      </c>
    </row>
    <row r="77" spans="1:12" x14ac:dyDescent="0.2">
      <c r="A77" t="s">
        <v>788</v>
      </c>
    </row>
    <row r="78" spans="1:12" x14ac:dyDescent="0.2">
      <c r="A78" t="s">
        <v>789</v>
      </c>
    </row>
    <row r="79" spans="1:12" x14ac:dyDescent="0.2">
      <c r="A79" t="s">
        <v>790</v>
      </c>
    </row>
    <row r="80" spans="1:12" x14ac:dyDescent="0.2">
      <c r="A80" t="s">
        <v>791</v>
      </c>
    </row>
    <row r="82" spans="1:6" x14ac:dyDescent="0.2">
      <c r="A82" t="s">
        <v>577</v>
      </c>
      <c r="B82">
        <v>1750000</v>
      </c>
    </row>
    <row r="83" spans="1:6" x14ac:dyDescent="0.2">
      <c r="A83" t="s">
        <v>800</v>
      </c>
      <c r="B83">
        <v>500000</v>
      </c>
    </row>
    <row r="84" spans="1:6" x14ac:dyDescent="0.2">
      <c r="A84" t="s">
        <v>801</v>
      </c>
      <c r="B84">
        <v>20000</v>
      </c>
      <c r="D84" t="s">
        <v>798</v>
      </c>
      <c r="E84">
        <f>+(B82-B84*B85)/B83</f>
        <v>3.1</v>
      </c>
    </row>
    <row r="85" spans="1:6" x14ac:dyDescent="0.2">
      <c r="A85" t="s">
        <v>802</v>
      </c>
      <c r="B85">
        <v>10</v>
      </c>
      <c r="D85" t="s">
        <v>799</v>
      </c>
      <c r="E85">
        <f>+B82/(B83+B84*B86)</f>
        <v>2.9166666666666665</v>
      </c>
    </row>
    <row r="86" spans="1:6" x14ac:dyDescent="0.2">
      <c r="A86" t="s">
        <v>803</v>
      </c>
      <c r="B86">
        <v>5</v>
      </c>
    </row>
    <row r="88" spans="1:6" ht="19" x14ac:dyDescent="0.25">
      <c r="A88" s="179" t="s">
        <v>804</v>
      </c>
    </row>
    <row r="89" spans="1:6" ht="19" x14ac:dyDescent="0.25">
      <c r="A89" s="179"/>
    </row>
    <row r="90" spans="1:6" x14ac:dyDescent="0.2">
      <c r="A90" t="s">
        <v>805</v>
      </c>
    </row>
    <row r="91" spans="1:6" x14ac:dyDescent="0.2">
      <c r="A91" t="s">
        <v>806</v>
      </c>
    </row>
    <row r="92" spans="1:6" x14ac:dyDescent="0.2">
      <c r="A92" t="s">
        <v>807</v>
      </c>
    </row>
    <row r="93" spans="1:6" x14ac:dyDescent="0.2">
      <c r="A93" t="s">
        <v>808</v>
      </c>
      <c r="D93" s="180"/>
    </row>
    <row r="94" spans="1:6" x14ac:dyDescent="0.2">
      <c r="D94" s="180"/>
    </row>
    <row r="96" spans="1:6" x14ac:dyDescent="0.2">
      <c r="A96" t="s">
        <v>577</v>
      </c>
      <c r="B96">
        <v>750000</v>
      </c>
      <c r="E96" t="s">
        <v>813</v>
      </c>
      <c r="F96" s="88">
        <f>+B96/(B97)</f>
        <v>1.0869565217391304</v>
      </c>
    </row>
    <row r="97" spans="1:8" x14ac:dyDescent="0.2">
      <c r="A97" t="s">
        <v>809</v>
      </c>
      <c r="B97">
        <v>690000</v>
      </c>
      <c r="E97" t="s">
        <v>814</v>
      </c>
      <c r="F97" s="88">
        <f>+(B96+B98*C98*(1-B100))/(B97+B99)</f>
        <v>1.0744285714285715</v>
      </c>
      <c r="G97" t="s">
        <v>815</v>
      </c>
      <c r="H97" s="88">
        <f>+B96+B98*C98*(1-B100)</f>
        <v>752100</v>
      </c>
    </row>
    <row r="98" spans="1:8" x14ac:dyDescent="0.2">
      <c r="A98" t="s">
        <v>812</v>
      </c>
      <c r="B98">
        <v>50000</v>
      </c>
      <c r="C98" s="74">
        <v>0.06</v>
      </c>
    </row>
    <row r="99" spans="1:8" x14ac:dyDescent="0.2">
      <c r="A99" t="s">
        <v>810</v>
      </c>
      <c r="B99">
        <v>10000</v>
      </c>
      <c r="C99" t="s">
        <v>811</v>
      </c>
    </row>
    <row r="100" spans="1:8" x14ac:dyDescent="0.2">
      <c r="A100" t="s">
        <v>367</v>
      </c>
      <c r="B100" s="74">
        <v>0.3</v>
      </c>
    </row>
    <row r="105" spans="1:8" x14ac:dyDescent="0.2">
      <c r="A105" t="s">
        <v>792</v>
      </c>
      <c r="B105" t="s">
        <v>816</v>
      </c>
    </row>
    <row r="106" spans="1:8" x14ac:dyDescent="0.2">
      <c r="B106" t="s">
        <v>817</v>
      </c>
      <c r="D106" t="s">
        <v>818</v>
      </c>
    </row>
    <row r="115" spans="1:8" ht="19" x14ac:dyDescent="0.25">
      <c r="A115" s="179" t="s">
        <v>819</v>
      </c>
    </row>
    <row r="116" spans="1:8" ht="19" x14ac:dyDescent="0.25">
      <c r="A116" s="179"/>
    </row>
    <row r="117" spans="1:8" x14ac:dyDescent="0.2">
      <c r="A117" t="s">
        <v>820</v>
      </c>
    </row>
    <row r="118" spans="1:8" x14ac:dyDescent="0.2">
      <c r="A118" t="s">
        <v>821</v>
      </c>
    </row>
    <row r="119" spans="1:8" x14ac:dyDescent="0.2">
      <c r="A119" t="s">
        <v>822</v>
      </c>
    </row>
    <row r="120" spans="1:8" x14ac:dyDescent="0.2">
      <c r="A120" t="s">
        <v>823</v>
      </c>
      <c r="D120" s="180"/>
    </row>
    <row r="121" spans="1:8" x14ac:dyDescent="0.2">
      <c r="D121" s="180"/>
    </row>
    <row r="124" spans="1:8" x14ac:dyDescent="0.2">
      <c r="A124" s="184" t="s">
        <v>577</v>
      </c>
      <c r="B124" s="184">
        <v>2300000</v>
      </c>
      <c r="C124" s="184"/>
      <c r="D124" s="184"/>
      <c r="E124" s="184" t="s">
        <v>813</v>
      </c>
      <c r="F124" s="184" t="s">
        <v>814</v>
      </c>
    </row>
    <row r="125" spans="1:8" x14ac:dyDescent="0.2">
      <c r="A125" s="184" t="s">
        <v>824</v>
      </c>
      <c r="B125" s="184">
        <v>800000</v>
      </c>
      <c r="C125" s="184"/>
      <c r="D125" s="189" t="s">
        <v>828</v>
      </c>
      <c r="E125" s="189">
        <f>+B124</f>
        <v>2300000</v>
      </c>
      <c r="F125" s="189">
        <f>+E125</f>
        <v>2300000</v>
      </c>
    </row>
    <row r="126" spans="1:8" x14ac:dyDescent="0.2">
      <c r="A126" s="184" t="s">
        <v>825</v>
      </c>
      <c r="B126" s="184">
        <v>30000</v>
      </c>
      <c r="C126" s="184"/>
    </row>
    <row r="127" spans="1:8" x14ac:dyDescent="0.2">
      <c r="A127" s="185" t="s">
        <v>826</v>
      </c>
      <c r="B127" s="186">
        <v>35</v>
      </c>
      <c r="C127" s="186"/>
      <c r="D127" s="184" t="s">
        <v>830</v>
      </c>
      <c r="E127" s="184">
        <f>+B125</f>
        <v>800000</v>
      </c>
      <c r="F127" s="184">
        <f>+B125</f>
        <v>800000</v>
      </c>
    </row>
    <row r="128" spans="1:8" x14ac:dyDescent="0.2">
      <c r="A128" s="187" t="s">
        <v>827</v>
      </c>
      <c r="B128" s="188">
        <v>55</v>
      </c>
      <c r="C128" s="188"/>
      <c r="D128" s="184" t="s">
        <v>832</v>
      </c>
      <c r="E128" s="184"/>
      <c r="F128" s="184">
        <f>+I135</f>
        <v>10909.09090909091</v>
      </c>
      <c r="H128" t="s">
        <v>831</v>
      </c>
    </row>
    <row r="129" spans="1:10" x14ac:dyDescent="0.2">
      <c r="A129" s="184"/>
      <c r="B129" s="184"/>
      <c r="C129" s="184"/>
      <c r="D129" s="184"/>
      <c r="F129" s="190"/>
      <c r="H129" t="s">
        <v>833</v>
      </c>
    </row>
    <row r="130" spans="1:10" x14ac:dyDescent="0.2">
      <c r="D130" s="189" t="s">
        <v>829</v>
      </c>
      <c r="E130" s="189">
        <f>+B125</f>
        <v>800000</v>
      </c>
      <c r="F130" s="189">
        <f>+F127+F128+F129</f>
        <v>810909.09090909094</v>
      </c>
      <c r="H130" t="s">
        <v>834</v>
      </c>
      <c r="I130" s="190">
        <f>+B126*B127</f>
        <v>1050000</v>
      </c>
    </row>
    <row r="131" spans="1:10" x14ac:dyDescent="0.2">
      <c r="D131" s="184"/>
      <c r="E131" s="184">
        <f>+E125/E130</f>
        <v>2.875</v>
      </c>
      <c r="F131" s="184">
        <f>+F125/F130</f>
        <v>2.8363228699551568</v>
      </c>
      <c r="H131" t="s">
        <v>835</v>
      </c>
    </row>
    <row r="132" spans="1:10" x14ac:dyDescent="0.2">
      <c r="H132" t="s">
        <v>836</v>
      </c>
      <c r="I132" s="190">
        <f>30000*B128</f>
        <v>1650000</v>
      </c>
    </row>
    <row r="133" spans="1:10" x14ac:dyDescent="0.2">
      <c r="H133" t="s">
        <v>837</v>
      </c>
      <c r="I133" s="190">
        <f>+I132-I130</f>
        <v>600000</v>
      </c>
      <c r="J133" t="s">
        <v>838</v>
      </c>
    </row>
    <row r="134" spans="1:10" x14ac:dyDescent="0.2">
      <c r="H134" t="s">
        <v>839</v>
      </c>
    </row>
    <row r="135" spans="1:10" x14ac:dyDescent="0.2">
      <c r="H135" t="s">
        <v>840</v>
      </c>
      <c r="I135" s="190">
        <f>+I133/B128</f>
        <v>10909.09090909091</v>
      </c>
      <c r="J135" t="s">
        <v>841</v>
      </c>
    </row>
  </sheetData>
  <mergeCells count="1">
    <mergeCell ref="B37:B38"/>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40EA25-F70B-C848-8F6D-E8FF1998B20A}">
  <dimension ref="A1:A25"/>
  <sheetViews>
    <sheetView showGridLines="0" topLeftCell="A10" zoomScale="210" workbookViewId="0">
      <selection activeCell="A26" sqref="A26"/>
    </sheetView>
  </sheetViews>
  <sheetFormatPr baseColWidth="10" defaultRowHeight="16" x14ac:dyDescent="0.2"/>
  <sheetData>
    <row r="1" spans="1:1" x14ac:dyDescent="0.2">
      <c r="A1" t="s">
        <v>842</v>
      </c>
    </row>
    <row r="3" spans="1:1" x14ac:dyDescent="0.2">
      <c r="A3" t="s">
        <v>843</v>
      </c>
    </row>
    <row r="15" spans="1:1" x14ac:dyDescent="0.2">
      <c r="A15" t="s">
        <v>844</v>
      </c>
    </row>
    <row r="25" spans="1:1" x14ac:dyDescent="0.2">
      <c r="A25" t="s">
        <v>845</v>
      </c>
    </row>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077060-7A8F-7644-B29C-AAAB55884B32}">
  <dimension ref="A1:I6"/>
  <sheetViews>
    <sheetView zoomScale="208" workbookViewId="0">
      <selection activeCell="I4" sqref="I4"/>
    </sheetView>
  </sheetViews>
  <sheetFormatPr baseColWidth="10" defaultRowHeight="16" x14ac:dyDescent="0.2"/>
  <sheetData>
    <row r="1" spans="1:9" ht="46" customHeight="1" x14ac:dyDescent="0.2">
      <c r="A1" s="1">
        <v>1</v>
      </c>
      <c r="B1" s="39" t="s">
        <v>733</v>
      </c>
      <c r="C1" s="39"/>
      <c r="D1" s="39"/>
      <c r="E1" s="39"/>
      <c r="F1" s="39"/>
      <c r="G1" s="39"/>
      <c r="H1">
        <v>1</v>
      </c>
      <c r="I1" t="s">
        <v>252</v>
      </c>
    </row>
    <row r="2" spans="1:9" ht="43" customHeight="1" x14ac:dyDescent="0.2">
      <c r="A2" s="1">
        <v>2</v>
      </c>
      <c r="B2" s="39" t="s">
        <v>737</v>
      </c>
      <c r="C2" s="39"/>
      <c r="D2" s="39"/>
      <c r="E2" s="39"/>
      <c r="F2" s="39"/>
      <c r="G2" s="39"/>
      <c r="H2">
        <v>1</v>
      </c>
      <c r="I2" t="s">
        <v>137</v>
      </c>
    </row>
    <row r="3" spans="1:9" ht="55" customHeight="1" x14ac:dyDescent="0.2">
      <c r="A3" s="1">
        <v>3</v>
      </c>
      <c r="B3" s="39" t="s">
        <v>736</v>
      </c>
      <c r="C3" s="39"/>
      <c r="D3" s="39"/>
      <c r="E3" s="39"/>
      <c r="F3" s="39"/>
      <c r="G3" s="39"/>
      <c r="H3">
        <v>1</v>
      </c>
      <c r="I3" t="s">
        <v>252</v>
      </c>
    </row>
    <row r="4" spans="1:9" ht="74" customHeight="1" x14ac:dyDescent="0.2">
      <c r="A4" s="1">
        <v>4</v>
      </c>
      <c r="B4" s="39" t="s">
        <v>734</v>
      </c>
      <c r="C4" s="39"/>
      <c r="D4" s="39"/>
      <c r="E4" s="39"/>
      <c r="F4" s="39"/>
      <c r="G4" s="39"/>
      <c r="H4">
        <v>0</v>
      </c>
      <c r="I4" t="s">
        <v>252</v>
      </c>
    </row>
    <row r="5" spans="1:9" ht="74" customHeight="1" x14ac:dyDescent="0.2">
      <c r="A5" s="1">
        <v>5</v>
      </c>
      <c r="B5" s="39" t="s">
        <v>735</v>
      </c>
      <c r="C5" s="39"/>
      <c r="D5" s="39"/>
      <c r="E5" s="39"/>
      <c r="F5" s="39"/>
      <c r="G5" s="39"/>
      <c r="H5">
        <v>1</v>
      </c>
      <c r="I5" t="s">
        <v>45</v>
      </c>
    </row>
    <row r="6" spans="1:9" x14ac:dyDescent="0.2">
      <c r="H6">
        <f>+SUM(H1:H5)</f>
        <v>4</v>
      </c>
    </row>
  </sheetData>
  <mergeCells count="5">
    <mergeCell ref="B1:G1"/>
    <mergeCell ref="B2:G2"/>
    <mergeCell ref="B3:G3"/>
    <mergeCell ref="B4:G4"/>
    <mergeCell ref="B5:G5"/>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178A53-C56B-EF4C-AFC2-29660F15379B}">
  <dimension ref="A1:C89"/>
  <sheetViews>
    <sheetView showGridLines="0" zoomScale="186" workbookViewId="0">
      <selection activeCell="A90" sqref="A90"/>
    </sheetView>
  </sheetViews>
  <sheetFormatPr baseColWidth="10" defaultRowHeight="16" x14ac:dyDescent="0.2"/>
  <sheetData>
    <row r="1" spans="1:1" ht="26" x14ac:dyDescent="0.2">
      <c r="A1" s="35" t="s">
        <v>172</v>
      </c>
    </row>
    <row r="2" spans="1:1" x14ac:dyDescent="0.2">
      <c r="A2" t="s">
        <v>173</v>
      </c>
    </row>
    <row r="3" spans="1:1" x14ac:dyDescent="0.2">
      <c r="A3" t="s">
        <v>174</v>
      </c>
    </row>
    <row r="4" spans="1:1" x14ac:dyDescent="0.2">
      <c r="A4" t="s">
        <v>175</v>
      </c>
    </row>
    <row r="8" spans="1:1" x14ac:dyDescent="0.2">
      <c r="A8" t="s">
        <v>176</v>
      </c>
    </row>
    <row r="9" spans="1:1" x14ac:dyDescent="0.2">
      <c r="A9" t="s">
        <v>177</v>
      </c>
    </row>
    <row r="11" spans="1:1" x14ac:dyDescent="0.2">
      <c r="A11" t="s">
        <v>178</v>
      </c>
    </row>
    <row r="12" spans="1:1" x14ac:dyDescent="0.2">
      <c r="A12" t="s">
        <v>179</v>
      </c>
    </row>
    <row r="13" spans="1:1" x14ac:dyDescent="0.2">
      <c r="A13" t="s">
        <v>180</v>
      </c>
    </row>
    <row r="14" spans="1:1" x14ac:dyDescent="0.2">
      <c r="A14" t="s">
        <v>181</v>
      </c>
    </row>
    <row r="15" spans="1:1" x14ac:dyDescent="0.2">
      <c r="A15" t="s">
        <v>182</v>
      </c>
    </row>
    <row r="16" spans="1:1" x14ac:dyDescent="0.2">
      <c r="A16" t="s">
        <v>183</v>
      </c>
    </row>
    <row r="17" spans="1:1" x14ac:dyDescent="0.2">
      <c r="A17" t="s">
        <v>184</v>
      </c>
    </row>
    <row r="18" spans="1:1" x14ac:dyDescent="0.2">
      <c r="A18" t="s">
        <v>185</v>
      </c>
    </row>
    <row r="19" spans="1:1" x14ac:dyDescent="0.2">
      <c r="A19" t="s">
        <v>186</v>
      </c>
    </row>
    <row r="20" spans="1:1" x14ac:dyDescent="0.2">
      <c r="A20" t="s">
        <v>187</v>
      </c>
    </row>
    <row r="21" spans="1:1" x14ac:dyDescent="0.2">
      <c r="A21" t="s">
        <v>188</v>
      </c>
    </row>
    <row r="23" spans="1:1" x14ac:dyDescent="0.2">
      <c r="A23" t="s">
        <v>189</v>
      </c>
    </row>
    <row r="24" spans="1:1" x14ac:dyDescent="0.2">
      <c r="A24" t="s">
        <v>195</v>
      </c>
    </row>
    <row r="25" spans="1:1" x14ac:dyDescent="0.2">
      <c r="A25" t="s">
        <v>190</v>
      </c>
    </row>
    <row r="26" spans="1:1" x14ac:dyDescent="0.2">
      <c r="A26" t="s">
        <v>191</v>
      </c>
    </row>
    <row r="27" spans="1:1" x14ac:dyDescent="0.2">
      <c r="A27" t="s">
        <v>192</v>
      </c>
    </row>
    <row r="28" spans="1:1" x14ac:dyDescent="0.2">
      <c r="A28" t="s">
        <v>206</v>
      </c>
    </row>
    <row r="29" spans="1:1" x14ac:dyDescent="0.2">
      <c r="A29" t="s">
        <v>193</v>
      </c>
    </row>
    <row r="30" spans="1:1" x14ac:dyDescent="0.2">
      <c r="A30" t="s">
        <v>194</v>
      </c>
    </row>
    <row r="31" spans="1:1" x14ac:dyDescent="0.2">
      <c r="A31" t="s">
        <v>205</v>
      </c>
    </row>
    <row r="32" spans="1:1" x14ac:dyDescent="0.2">
      <c r="A32" t="s">
        <v>204</v>
      </c>
    </row>
    <row r="34" spans="1:2" x14ac:dyDescent="0.2">
      <c r="A34" t="s">
        <v>196</v>
      </c>
    </row>
    <row r="35" spans="1:2" x14ac:dyDescent="0.2">
      <c r="A35" t="s">
        <v>197</v>
      </c>
    </row>
    <row r="36" spans="1:2" x14ac:dyDescent="0.2">
      <c r="A36" t="s">
        <v>198</v>
      </c>
    </row>
    <row r="37" spans="1:2" x14ac:dyDescent="0.2">
      <c r="A37" t="s">
        <v>199</v>
      </c>
    </row>
    <row r="38" spans="1:2" x14ac:dyDescent="0.2">
      <c r="A38" t="s">
        <v>227</v>
      </c>
    </row>
    <row r="39" spans="1:2" x14ac:dyDescent="0.2">
      <c r="A39" t="s">
        <v>200</v>
      </c>
    </row>
    <row r="40" spans="1:2" x14ac:dyDescent="0.2">
      <c r="A40" t="s">
        <v>201</v>
      </c>
    </row>
    <row r="41" spans="1:2" x14ac:dyDescent="0.2">
      <c r="A41" t="s">
        <v>202</v>
      </c>
    </row>
    <row r="42" spans="1:2" x14ac:dyDescent="0.2">
      <c r="A42" t="s">
        <v>207</v>
      </c>
      <c r="B42" t="s">
        <v>208</v>
      </c>
    </row>
    <row r="43" spans="1:2" x14ac:dyDescent="0.2">
      <c r="A43" t="s">
        <v>209</v>
      </c>
    </row>
    <row r="44" spans="1:2" ht="26" x14ac:dyDescent="0.2">
      <c r="A44" s="35" t="s">
        <v>203</v>
      </c>
    </row>
    <row r="45" spans="1:2" x14ac:dyDescent="0.2">
      <c r="A45" t="s">
        <v>225</v>
      </c>
    </row>
    <row r="46" spans="1:2" x14ac:dyDescent="0.2">
      <c r="A46" t="s">
        <v>226</v>
      </c>
    </row>
    <row r="47" spans="1:2" x14ac:dyDescent="0.2">
      <c r="A47" t="s">
        <v>224</v>
      </c>
    </row>
    <row r="48" spans="1:2" x14ac:dyDescent="0.2">
      <c r="A48" t="s">
        <v>210</v>
      </c>
    </row>
    <row r="49" spans="1:3" x14ac:dyDescent="0.2">
      <c r="A49" t="s">
        <v>211</v>
      </c>
    </row>
    <row r="50" spans="1:3" x14ac:dyDescent="0.2">
      <c r="A50" t="s">
        <v>212</v>
      </c>
    </row>
    <row r="51" spans="1:3" x14ac:dyDescent="0.2">
      <c r="A51" t="s">
        <v>213</v>
      </c>
    </row>
    <row r="52" spans="1:3" x14ac:dyDescent="0.2">
      <c r="A52" t="s">
        <v>214</v>
      </c>
    </row>
    <row r="53" spans="1:3" x14ac:dyDescent="0.2">
      <c r="A53" t="s">
        <v>215</v>
      </c>
    </row>
    <row r="54" spans="1:3" x14ac:dyDescent="0.2">
      <c r="A54" t="s">
        <v>223</v>
      </c>
    </row>
    <row r="55" spans="1:3" x14ac:dyDescent="0.2">
      <c r="A55" t="s">
        <v>217</v>
      </c>
    </row>
    <row r="56" spans="1:3" x14ac:dyDescent="0.2">
      <c r="A56" t="s">
        <v>216</v>
      </c>
    </row>
    <row r="57" spans="1:3" x14ac:dyDescent="0.2">
      <c r="A57" t="s">
        <v>218</v>
      </c>
    </row>
    <row r="58" spans="1:3" x14ac:dyDescent="0.2">
      <c r="A58" t="s">
        <v>219</v>
      </c>
    </row>
    <row r="59" spans="1:3" x14ac:dyDescent="0.2">
      <c r="A59" t="s">
        <v>220</v>
      </c>
      <c r="C59" t="s">
        <v>221</v>
      </c>
    </row>
    <row r="61" spans="1:3" ht="26" x14ac:dyDescent="0.2">
      <c r="A61" s="35" t="s">
        <v>222</v>
      </c>
    </row>
    <row r="62" spans="1:3" x14ac:dyDescent="0.2">
      <c r="A62" t="s">
        <v>238</v>
      </c>
    </row>
    <row r="63" spans="1:3" x14ac:dyDescent="0.2">
      <c r="A63" t="s">
        <v>239</v>
      </c>
    </row>
    <row r="64" spans="1:3" x14ac:dyDescent="0.2">
      <c r="A64" t="s">
        <v>240</v>
      </c>
    </row>
    <row r="65" spans="1:2" x14ac:dyDescent="0.2">
      <c r="A65" t="s">
        <v>241</v>
      </c>
    </row>
    <row r="66" spans="1:2" x14ac:dyDescent="0.2">
      <c r="A66" t="s">
        <v>243</v>
      </c>
    </row>
    <row r="67" spans="1:2" x14ac:dyDescent="0.2">
      <c r="A67" t="s">
        <v>244</v>
      </c>
    </row>
    <row r="68" spans="1:2" x14ac:dyDescent="0.2">
      <c r="A68" t="s">
        <v>245</v>
      </c>
    </row>
    <row r="69" spans="1:2" x14ac:dyDescent="0.2">
      <c r="A69" t="s">
        <v>242</v>
      </c>
    </row>
    <row r="71" spans="1:2" ht="18" x14ac:dyDescent="0.2">
      <c r="A71" s="36" t="s">
        <v>233</v>
      </c>
    </row>
    <row r="72" spans="1:2" x14ac:dyDescent="0.2">
      <c r="A72" t="s">
        <v>246</v>
      </c>
    </row>
    <row r="73" spans="1:2" x14ac:dyDescent="0.2">
      <c r="A73" t="s">
        <v>247</v>
      </c>
    </row>
    <row r="74" spans="1:2" x14ac:dyDescent="0.2">
      <c r="A74" t="s">
        <v>249</v>
      </c>
      <c r="B74" t="s">
        <v>248</v>
      </c>
    </row>
    <row r="75" spans="1:2" x14ac:dyDescent="0.2">
      <c r="A75" t="s">
        <v>254</v>
      </c>
    </row>
    <row r="76" spans="1:2" x14ac:dyDescent="0.2">
      <c r="A76" t="s">
        <v>250</v>
      </c>
    </row>
    <row r="77" spans="1:2" x14ac:dyDescent="0.2">
      <c r="A77" t="s">
        <v>251</v>
      </c>
    </row>
    <row r="78" spans="1:2" x14ac:dyDescent="0.2">
      <c r="A78" t="s">
        <v>255</v>
      </c>
    </row>
    <row r="79" spans="1:2" x14ac:dyDescent="0.2">
      <c r="A79" t="s">
        <v>256</v>
      </c>
    </row>
    <row r="80" spans="1:2" ht="18" x14ac:dyDescent="0.2">
      <c r="A80" s="36" t="s">
        <v>252</v>
      </c>
    </row>
    <row r="81" spans="1:1" x14ac:dyDescent="0.2">
      <c r="A81" t="s">
        <v>253</v>
      </c>
    </row>
    <row r="82" spans="1:1" x14ac:dyDescent="0.2">
      <c r="A82" t="s">
        <v>257</v>
      </c>
    </row>
    <row r="83" spans="1:1" x14ac:dyDescent="0.2">
      <c r="A83" t="s">
        <v>258</v>
      </c>
    </row>
    <row r="84" spans="1:1" x14ac:dyDescent="0.2">
      <c r="A84" t="s">
        <v>259</v>
      </c>
    </row>
    <row r="89" spans="1:1" ht="26" x14ac:dyDescent="0.2">
      <c r="A89" s="35" t="s">
        <v>260</v>
      </c>
    </row>
  </sheetData>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1D7B6AD-A9FA-AC4B-9B65-08CB2967D7A7}">
  <dimension ref="A8:C25"/>
  <sheetViews>
    <sheetView showGridLines="0" tabSelected="1" zoomScale="141" workbookViewId="0">
      <selection activeCell="A26" sqref="A26"/>
    </sheetView>
  </sheetViews>
  <sheetFormatPr baseColWidth="10" defaultRowHeight="16" x14ac:dyDescent="0.2"/>
  <sheetData>
    <row r="8" spans="1:3" x14ac:dyDescent="0.2">
      <c r="A8" t="s">
        <v>136</v>
      </c>
    </row>
    <row r="9" spans="1:3" x14ac:dyDescent="0.2">
      <c r="B9" t="s">
        <v>119</v>
      </c>
      <c r="C9" s="21" t="s">
        <v>234</v>
      </c>
    </row>
    <row r="10" spans="1:3" x14ac:dyDescent="0.2">
      <c r="A10" t="s">
        <v>120</v>
      </c>
      <c r="B10">
        <v>2.5</v>
      </c>
      <c r="C10">
        <f>+$B$15+B10*(8.04)</f>
        <v>20.099999999999998</v>
      </c>
    </row>
    <row r="11" spans="1:3" x14ac:dyDescent="0.2">
      <c r="A11" t="s">
        <v>121</v>
      </c>
      <c r="B11">
        <v>1.5</v>
      </c>
      <c r="C11">
        <f t="shared" ref="C11:C12" si="0">+$B$15+B11*(8.04)</f>
        <v>12.059999999999999</v>
      </c>
    </row>
    <row r="12" spans="1:3" x14ac:dyDescent="0.2">
      <c r="A12" t="s">
        <v>122</v>
      </c>
      <c r="B12">
        <v>0.8</v>
      </c>
      <c r="C12">
        <f t="shared" si="0"/>
        <v>6.4319999999999995</v>
      </c>
    </row>
    <row r="14" spans="1:3" x14ac:dyDescent="0.2">
      <c r="A14" t="s">
        <v>123</v>
      </c>
      <c r="B14">
        <v>8.0399999999999991</v>
      </c>
    </row>
    <row r="24" spans="1:2" x14ac:dyDescent="0.2">
      <c r="A24" t="s">
        <v>852</v>
      </c>
    </row>
    <row r="25" spans="1:2" x14ac:dyDescent="0.2">
      <c r="B25" t="s">
        <v>853</v>
      </c>
    </row>
  </sheetData>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84B4931-EF62-9048-8C3C-2732D3F58959}">
  <dimension ref="A1"/>
  <sheetViews>
    <sheetView workbookViewId="0">
      <selection activeCell="F46" sqref="F46"/>
    </sheetView>
  </sheetViews>
  <sheetFormatPr baseColWidth="10" defaultRowHeight="16" x14ac:dyDescent="0.2"/>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2C5D13-79BD-6D42-A686-C2BEF7ED87BE}">
  <sheetPr>
    <tabColor rgb="FFFFFF00"/>
  </sheetPr>
  <dimension ref="E19:E23"/>
  <sheetViews>
    <sheetView showGridLines="0" zoomScale="221" workbookViewId="0">
      <selection activeCell="H21" sqref="H21"/>
    </sheetView>
  </sheetViews>
  <sheetFormatPr baseColWidth="10" defaultRowHeight="16" x14ac:dyDescent="0.2"/>
  <sheetData>
    <row r="19" spans="5:5" x14ac:dyDescent="0.2">
      <c r="E19" t="s">
        <v>846</v>
      </c>
    </row>
    <row r="20" spans="5:5" x14ac:dyDescent="0.2">
      <c r="E20" t="s">
        <v>847</v>
      </c>
    </row>
    <row r="21" spans="5:5" x14ac:dyDescent="0.2">
      <c r="E21" t="s">
        <v>848</v>
      </c>
    </row>
    <row r="22" spans="5:5" x14ac:dyDescent="0.2">
      <c r="E22" t="s">
        <v>849</v>
      </c>
    </row>
    <row r="23" spans="5:5" x14ac:dyDescent="0.2">
      <c r="E23" t="s">
        <v>850</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8100E88-1E12-D742-86E2-3798DABA900C}">
  <sheetPr>
    <tabColor rgb="FFFFFF00"/>
  </sheetPr>
  <dimension ref="B8:R218"/>
  <sheetViews>
    <sheetView topLeftCell="A172" zoomScale="112" workbookViewId="0">
      <selection activeCell="D196" sqref="D196"/>
    </sheetView>
  </sheetViews>
  <sheetFormatPr baseColWidth="10" defaultRowHeight="16" x14ac:dyDescent="0.2"/>
  <cols>
    <col min="2" max="2" width="16.1640625" customWidth="1"/>
    <col min="11" max="11" width="12.5" bestFit="1" customWidth="1"/>
  </cols>
  <sheetData>
    <row r="8" spans="2:4" x14ac:dyDescent="0.2">
      <c r="B8" t="s">
        <v>136</v>
      </c>
    </row>
    <row r="9" spans="2:4" x14ac:dyDescent="0.2">
      <c r="C9" t="s">
        <v>119</v>
      </c>
      <c r="D9" s="21" t="s">
        <v>234</v>
      </c>
    </row>
    <row r="10" spans="2:4" x14ac:dyDescent="0.2">
      <c r="B10" t="s">
        <v>120</v>
      </c>
      <c r="C10">
        <v>2.5</v>
      </c>
      <c r="D10">
        <f>+$C$14+C10*($C$15)</f>
        <v>0.2445</v>
      </c>
    </row>
    <row r="11" spans="2:4" x14ac:dyDescent="0.2">
      <c r="B11" t="s">
        <v>121</v>
      </c>
      <c r="C11">
        <v>1.5</v>
      </c>
      <c r="D11">
        <f t="shared" ref="D11:D12" si="0">+$C$14+C11*($C$15)</f>
        <v>0.1641</v>
      </c>
    </row>
    <row r="12" spans="2:4" x14ac:dyDescent="0.2">
      <c r="B12" t="s">
        <v>122</v>
      </c>
      <c r="C12">
        <v>0.8</v>
      </c>
      <c r="D12">
        <f t="shared" si="0"/>
        <v>0.10782</v>
      </c>
    </row>
    <row r="14" spans="2:4" x14ac:dyDescent="0.2">
      <c r="B14" t="s">
        <v>123</v>
      </c>
      <c r="C14">
        <v>4.3499999999999997E-2</v>
      </c>
    </row>
    <row r="15" spans="2:4" x14ac:dyDescent="0.2">
      <c r="B15" t="s">
        <v>426</v>
      </c>
      <c r="C15">
        <v>8.0399999999999999E-2</v>
      </c>
    </row>
    <row r="27" spans="4:7" x14ac:dyDescent="0.2">
      <c r="D27" t="s">
        <v>428</v>
      </c>
      <c r="E27">
        <v>-0.2</v>
      </c>
    </row>
    <row r="28" spans="4:7" x14ac:dyDescent="0.2">
      <c r="D28" t="s">
        <v>427</v>
      </c>
      <c r="E28">
        <v>4.4999999999999998E-2</v>
      </c>
    </row>
    <row r="29" spans="4:7" x14ac:dyDescent="0.2">
      <c r="D29" t="s">
        <v>429</v>
      </c>
      <c r="E29">
        <v>7.4999999999999997E-2</v>
      </c>
      <c r="G29">
        <f>+E28+E27*(E29)</f>
        <v>0.03</v>
      </c>
    </row>
    <row r="37" spans="11:18" x14ac:dyDescent="0.2">
      <c r="L37" s="76" t="s">
        <v>432</v>
      </c>
      <c r="M37" s="76" t="s">
        <v>430</v>
      </c>
      <c r="N37" s="76" t="s">
        <v>433</v>
      </c>
      <c r="O37" s="76" t="s">
        <v>431</v>
      </c>
      <c r="R37" t="s">
        <v>434</v>
      </c>
    </row>
    <row r="38" spans="11:18" x14ac:dyDescent="0.2">
      <c r="K38">
        <v>1</v>
      </c>
      <c r="L38" s="76">
        <f>+(M38+N38)/(1+O38)</f>
        <v>19.363636363636363</v>
      </c>
      <c r="M38" s="76">
        <v>0.3</v>
      </c>
      <c r="N38" s="76">
        <v>21</v>
      </c>
      <c r="O38" s="76">
        <v>0.1</v>
      </c>
      <c r="R38" t="s">
        <v>435</v>
      </c>
    </row>
    <row r="39" spans="11:18" x14ac:dyDescent="0.2">
      <c r="K39">
        <v>2</v>
      </c>
      <c r="L39" s="76">
        <v>30</v>
      </c>
      <c r="M39" s="76">
        <f>+L39*(1+O39)-N39</f>
        <v>1</v>
      </c>
      <c r="N39" s="76">
        <v>32</v>
      </c>
      <c r="O39" s="76">
        <v>0.1</v>
      </c>
      <c r="R39" t="s">
        <v>436</v>
      </c>
    </row>
    <row r="40" spans="11:18" x14ac:dyDescent="0.2">
      <c r="K40">
        <v>3</v>
      </c>
      <c r="L40" s="76">
        <v>92</v>
      </c>
      <c r="M40" s="76">
        <v>2.7</v>
      </c>
      <c r="N40" s="76"/>
      <c r="O40" s="76">
        <v>0.12</v>
      </c>
    </row>
    <row r="41" spans="11:18" x14ac:dyDescent="0.2">
      <c r="K41">
        <v>4</v>
      </c>
      <c r="L41" s="76">
        <v>16</v>
      </c>
      <c r="M41" s="76">
        <v>0.3</v>
      </c>
      <c r="N41" s="76">
        <v>17.899999999999999</v>
      </c>
      <c r="O41" s="77">
        <f>+(M41+N41-L41)/L41</f>
        <v>0.13749999999999996</v>
      </c>
    </row>
    <row r="68" spans="10:12" x14ac:dyDescent="0.2">
      <c r="J68" t="s">
        <v>437</v>
      </c>
      <c r="K68">
        <v>50</v>
      </c>
    </row>
    <row r="69" spans="10:12" x14ac:dyDescent="0.2">
      <c r="J69" t="s">
        <v>438</v>
      </c>
      <c r="K69">
        <v>1.5</v>
      </c>
    </row>
    <row r="70" spans="10:12" x14ac:dyDescent="0.2">
      <c r="J70" t="s">
        <v>316</v>
      </c>
      <c r="K70" s="74">
        <v>0.05</v>
      </c>
      <c r="L70" t="s">
        <v>439</v>
      </c>
    </row>
    <row r="71" spans="10:12" x14ac:dyDescent="0.2">
      <c r="J71" t="s">
        <v>428</v>
      </c>
      <c r="K71">
        <v>0.85</v>
      </c>
    </row>
    <row r="72" spans="10:12" x14ac:dyDescent="0.2">
      <c r="J72" t="s">
        <v>427</v>
      </c>
      <c r="K72">
        <v>4.4999999999999998E-2</v>
      </c>
    </row>
    <row r="73" spans="10:12" x14ac:dyDescent="0.2">
      <c r="J73" t="s">
        <v>440</v>
      </c>
      <c r="K73">
        <v>0.06</v>
      </c>
    </row>
    <row r="75" spans="10:12" x14ac:dyDescent="0.2">
      <c r="J75" t="s">
        <v>388</v>
      </c>
      <c r="K75">
        <f>+K72+K71*(K73)</f>
        <v>9.6000000000000002E-2</v>
      </c>
    </row>
    <row r="76" spans="10:12" x14ac:dyDescent="0.2">
      <c r="J76" t="s">
        <v>441</v>
      </c>
      <c r="K76">
        <f>+K69*(1+K70)</f>
        <v>1.5750000000000002</v>
      </c>
      <c r="L76" t="s">
        <v>442</v>
      </c>
    </row>
    <row r="78" spans="10:12" x14ac:dyDescent="0.2">
      <c r="J78" t="s">
        <v>443</v>
      </c>
      <c r="K78">
        <f>+K69*(1+K70) / (K75-K70)</f>
        <v>34.239130434782616</v>
      </c>
    </row>
    <row r="79" spans="10:12" ht="17" thickBot="1" x14ac:dyDescent="0.25"/>
    <row r="80" spans="10:12" x14ac:dyDescent="0.2">
      <c r="J80" s="79"/>
    </row>
    <row r="81" spans="10:12" ht="17" thickBot="1" x14ac:dyDescent="0.25">
      <c r="J81" s="80"/>
    </row>
    <row r="82" spans="10:12" ht="17" thickBot="1" x14ac:dyDescent="0.25">
      <c r="J82" s="78"/>
    </row>
    <row r="83" spans="10:12" ht="17" thickBot="1" x14ac:dyDescent="0.25">
      <c r="J83" s="78"/>
    </row>
    <row r="87" spans="10:12" x14ac:dyDescent="0.2">
      <c r="J87">
        <f>+(0.096*50-1.5)</f>
        <v>3.3</v>
      </c>
      <c r="K87">
        <f>1.5+50</f>
        <v>51.5</v>
      </c>
      <c r="L87" t="s">
        <v>316</v>
      </c>
    </row>
    <row r="88" spans="10:12" x14ac:dyDescent="0.2">
      <c r="K88">
        <f>+J87/K87</f>
        <v>6.4077669902912623E-2</v>
      </c>
      <c r="L88" t="s">
        <v>316</v>
      </c>
    </row>
    <row r="105" spans="11:16" x14ac:dyDescent="0.2">
      <c r="K105">
        <f>+N105*(1+O105)/(P105-O105)</f>
        <v>17.833333333333336</v>
      </c>
      <c r="M105">
        <v>25</v>
      </c>
      <c r="N105">
        <v>0.5</v>
      </c>
      <c r="O105">
        <v>7.0000000000000007E-2</v>
      </c>
      <c r="P105">
        <v>0.1</v>
      </c>
    </row>
    <row r="106" spans="11:16" x14ac:dyDescent="0.2">
      <c r="K106">
        <f>+N106*(1+O106)/(P106-O106)</f>
        <v>31.95</v>
      </c>
      <c r="M106">
        <v>40</v>
      </c>
      <c r="N106">
        <v>1.2</v>
      </c>
      <c r="O106">
        <v>6.5000000000000002E-2</v>
      </c>
      <c r="P106">
        <v>0.105</v>
      </c>
    </row>
    <row r="107" spans="11:16" x14ac:dyDescent="0.2">
      <c r="K107">
        <f t="shared" ref="K106:K107" si="1">+N107*(1+O107)/(P107-O107)</f>
        <v>18.48</v>
      </c>
      <c r="M107">
        <v>20</v>
      </c>
      <c r="N107">
        <v>0.88</v>
      </c>
      <c r="O107">
        <v>0.05</v>
      </c>
      <c r="P107">
        <v>0.1</v>
      </c>
    </row>
    <row r="113" spans="10:12" x14ac:dyDescent="0.2">
      <c r="K113">
        <f>+M105-K105</f>
        <v>7.1666666666666643</v>
      </c>
      <c r="L113" s="81">
        <f>+(M105-K105)/K105</f>
        <v>0.4018691588785045</v>
      </c>
    </row>
    <row r="114" spans="10:12" x14ac:dyDescent="0.2">
      <c r="K114">
        <f t="shared" ref="K114:K115" si="2">+M106-K106</f>
        <v>8.0500000000000007</v>
      </c>
      <c r="L114" s="81">
        <f t="shared" ref="L114:L115" si="3">+(M106-K106)/K106</f>
        <v>0.25195618153364635</v>
      </c>
    </row>
    <row r="115" spans="10:12" x14ac:dyDescent="0.2">
      <c r="K115">
        <f t="shared" si="2"/>
        <v>1.5199999999999996</v>
      </c>
      <c r="L115" s="81">
        <f t="shared" si="3"/>
        <v>8.2251082251082228E-2</v>
      </c>
    </row>
    <row r="126" spans="10:12" x14ac:dyDescent="0.2">
      <c r="J126" t="s">
        <v>427</v>
      </c>
      <c r="K126">
        <v>5.2999999999999999E-2</v>
      </c>
    </row>
    <row r="127" spans="10:12" x14ac:dyDescent="0.2">
      <c r="J127" t="s">
        <v>449</v>
      </c>
      <c r="K127">
        <v>0.06</v>
      </c>
    </row>
    <row r="130" spans="10:17" x14ac:dyDescent="0.2">
      <c r="K130" t="s">
        <v>441</v>
      </c>
      <c r="L130" t="s">
        <v>437</v>
      </c>
      <c r="M130" t="s">
        <v>451</v>
      </c>
      <c r="N130" t="s">
        <v>450</v>
      </c>
      <c r="O130" t="s">
        <v>137</v>
      </c>
      <c r="P130" t="s">
        <v>452</v>
      </c>
      <c r="Q130" t="s">
        <v>252</v>
      </c>
    </row>
    <row r="131" spans="10:17" x14ac:dyDescent="0.2">
      <c r="J131" s="38" t="s">
        <v>444</v>
      </c>
      <c r="K131" s="38">
        <v>2.4</v>
      </c>
      <c r="L131" s="38">
        <v>46.17</v>
      </c>
      <c r="M131" s="82">
        <v>0.05</v>
      </c>
      <c r="N131" s="38">
        <v>0.6</v>
      </c>
      <c r="P131" s="84">
        <f>+M131+K131/L131</f>
        <v>0.10198180636777128</v>
      </c>
      <c r="Q131" s="81">
        <f>+$K$126+N131*$K$127</f>
        <v>8.8999999999999996E-2</v>
      </c>
    </row>
    <row r="132" spans="10:17" x14ac:dyDescent="0.2">
      <c r="J132" s="38" t="s">
        <v>445</v>
      </c>
      <c r="K132" s="38">
        <v>2.2000000000000002</v>
      </c>
      <c r="L132" s="38">
        <v>39.799999999999997</v>
      </c>
      <c r="M132" s="38">
        <v>0.05</v>
      </c>
      <c r="N132" s="38">
        <v>0.6</v>
      </c>
      <c r="P132" s="84">
        <f t="shared" ref="P132:P135" si="4">+M132+K132/L132</f>
        <v>0.10527638190954774</v>
      </c>
      <c r="Q132" s="81">
        <f t="shared" ref="Q132:Q135" si="5">+$K$126+N132*$K$127</f>
        <v>8.8999999999999996E-2</v>
      </c>
    </row>
    <row r="133" spans="10:17" x14ac:dyDescent="0.2">
      <c r="J133" s="38" t="s">
        <v>446</v>
      </c>
      <c r="K133" s="38">
        <v>1.69</v>
      </c>
      <c r="L133" s="38">
        <v>64.12</v>
      </c>
      <c r="M133" s="38">
        <v>7.0000000000000007E-2</v>
      </c>
      <c r="N133" s="38">
        <v>0.8</v>
      </c>
      <c r="P133" s="84">
        <f t="shared" si="4"/>
        <v>9.6356830941983787E-2</v>
      </c>
      <c r="Q133" s="81">
        <f t="shared" si="5"/>
        <v>0.10100000000000001</v>
      </c>
    </row>
    <row r="134" spans="10:17" x14ac:dyDescent="0.2">
      <c r="J134" s="38" t="s">
        <v>447</v>
      </c>
      <c r="K134" s="38">
        <v>1.34</v>
      </c>
      <c r="L134" s="38">
        <v>23.25</v>
      </c>
      <c r="M134" s="38">
        <v>5.5E-2</v>
      </c>
      <c r="N134" s="38">
        <v>0.65</v>
      </c>
      <c r="P134" s="84">
        <f t="shared" si="4"/>
        <v>0.11263440860215054</v>
      </c>
      <c r="Q134" s="81">
        <f t="shared" si="5"/>
        <v>9.1999999999999998E-2</v>
      </c>
    </row>
    <row r="135" spans="10:17" x14ac:dyDescent="0.2">
      <c r="J135" s="38" t="s">
        <v>448</v>
      </c>
      <c r="K135" s="38">
        <v>2.58</v>
      </c>
      <c r="L135" s="38">
        <v>60.13</v>
      </c>
      <c r="M135" s="38">
        <v>5.5E-2</v>
      </c>
      <c r="N135" s="38">
        <v>0.65</v>
      </c>
      <c r="P135" s="84">
        <f t="shared" si="4"/>
        <v>9.7907034758024286E-2</v>
      </c>
      <c r="Q135" s="81">
        <f t="shared" si="5"/>
        <v>9.1999999999999998E-2</v>
      </c>
    </row>
    <row r="136" spans="10:17" x14ac:dyDescent="0.2">
      <c r="Q136" s="81"/>
    </row>
    <row r="137" spans="10:17" x14ac:dyDescent="0.2">
      <c r="J137" s="38" t="s">
        <v>453</v>
      </c>
    </row>
    <row r="150" spans="10:11" x14ac:dyDescent="0.2">
      <c r="J150" t="s">
        <v>438</v>
      </c>
      <c r="K150">
        <v>1.46</v>
      </c>
    </row>
    <row r="151" spans="10:11" x14ac:dyDescent="0.2">
      <c r="J151" t="s">
        <v>454</v>
      </c>
      <c r="K151">
        <v>0.58499999999999996</v>
      </c>
    </row>
    <row r="152" spans="10:11" x14ac:dyDescent="0.2">
      <c r="J152" t="s">
        <v>437</v>
      </c>
      <c r="K152">
        <v>80</v>
      </c>
    </row>
    <row r="153" spans="10:11" x14ac:dyDescent="0.2">
      <c r="J153" t="s">
        <v>459</v>
      </c>
    </row>
    <row r="154" spans="10:11" x14ac:dyDescent="0.2">
      <c r="J154" t="s">
        <v>455</v>
      </c>
    </row>
    <row r="155" spans="10:11" x14ac:dyDescent="0.2">
      <c r="J155" t="s">
        <v>456</v>
      </c>
    </row>
    <row r="156" spans="10:11" x14ac:dyDescent="0.2">
      <c r="J156" t="s">
        <v>457</v>
      </c>
    </row>
    <row r="157" spans="10:11" x14ac:dyDescent="0.2">
      <c r="J157">
        <f>+(K150/K151)^(1/8) - 1</f>
        <v>0.12111360716073216</v>
      </c>
    </row>
    <row r="159" spans="10:11" x14ac:dyDescent="0.2">
      <c r="J159" t="s">
        <v>458</v>
      </c>
    </row>
    <row r="160" spans="10:11" x14ac:dyDescent="0.2">
      <c r="J160">
        <f>+J157/2</f>
        <v>6.0556803580366081E-2</v>
      </c>
      <c r="K160" s="86">
        <f>+J160+K150*(1+J160)/K152</f>
        <v>7.9911965245707761E-2</v>
      </c>
    </row>
    <row r="162" spans="10:12" x14ac:dyDescent="0.2">
      <c r="J162" t="s">
        <v>460</v>
      </c>
    </row>
    <row r="163" spans="10:12" x14ac:dyDescent="0.2">
      <c r="J163" t="s">
        <v>428</v>
      </c>
      <c r="K163">
        <v>0.53</v>
      </c>
    </row>
    <row r="164" spans="10:12" x14ac:dyDescent="0.2">
      <c r="J164" t="s">
        <v>427</v>
      </c>
      <c r="K164">
        <v>5.5599999999999997E-2</v>
      </c>
      <c r="L164">
        <v>3.7100000000000001E-2</v>
      </c>
    </row>
    <row r="165" spans="10:12" x14ac:dyDescent="0.2">
      <c r="J165" t="s">
        <v>388</v>
      </c>
      <c r="K165">
        <f>+K164+K163*(L164)</f>
        <v>7.5262999999999997E-2</v>
      </c>
    </row>
    <row r="167" spans="10:12" x14ac:dyDescent="0.2">
      <c r="J167">
        <f>+K150*(1+J160)/(K165-J160)</f>
        <v>105.28983083349021</v>
      </c>
    </row>
    <row r="172" spans="10:12" x14ac:dyDescent="0.2">
      <c r="J172" t="s">
        <v>448</v>
      </c>
      <c r="K172">
        <v>0.5</v>
      </c>
    </row>
    <row r="173" spans="10:12" x14ac:dyDescent="0.2">
      <c r="J173" t="s">
        <v>316</v>
      </c>
      <c r="K173">
        <v>7.0000000000000007E-2</v>
      </c>
    </row>
    <row r="174" spans="10:12" x14ac:dyDescent="0.2">
      <c r="J174" t="s">
        <v>388</v>
      </c>
      <c r="K174">
        <v>0.15</v>
      </c>
    </row>
    <row r="176" spans="10:12" x14ac:dyDescent="0.2">
      <c r="J176">
        <f>+K172/(K174-K173)</f>
        <v>6.2500000000000009</v>
      </c>
      <c r="K176" t="s">
        <v>461</v>
      </c>
    </row>
    <row r="177" spans="10:12" x14ac:dyDescent="0.2">
      <c r="J177">
        <f>+J176/(1+K174)^3</f>
        <v>4.1094764526999281</v>
      </c>
      <c r="K177" t="s">
        <v>462</v>
      </c>
    </row>
    <row r="180" spans="10:12" x14ac:dyDescent="0.2">
      <c r="J180">
        <f>+K172/(K174-K173)</f>
        <v>6.2500000000000009</v>
      </c>
      <c r="K180" t="s">
        <v>463</v>
      </c>
      <c r="L180" t="s">
        <v>464</v>
      </c>
    </row>
    <row r="181" spans="10:12" x14ac:dyDescent="0.2">
      <c r="J181" s="88">
        <f>+J176/(1+K174)^5</f>
        <v>3.107354595614312</v>
      </c>
      <c r="L181" t="s">
        <v>465</v>
      </c>
    </row>
    <row r="186" spans="10:12" x14ac:dyDescent="0.2">
      <c r="J186" t="s">
        <v>441</v>
      </c>
      <c r="K186">
        <v>0.6</v>
      </c>
    </row>
    <row r="187" spans="10:12" x14ac:dyDescent="0.2">
      <c r="J187" t="s">
        <v>316</v>
      </c>
      <c r="K187">
        <v>0.5</v>
      </c>
      <c r="L187" t="s">
        <v>466</v>
      </c>
    </row>
    <row r="188" spans="10:12" x14ac:dyDescent="0.2">
      <c r="L188" t="s">
        <v>467</v>
      </c>
    </row>
    <row r="189" spans="10:12" x14ac:dyDescent="0.2">
      <c r="K189">
        <v>0.2</v>
      </c>
      <c r="L189" t="s">
        <v>468</v>
      </c>
    </row>
    <row r="190" spans="10:12" x14ac:dyDescent="0.2">
      <c r="L190" t="s">
        <v>469</v>
      </c>
    </row>
    <row r="191" spans="10:12" x14ac:dyDescent="0.2">
      <c r="K191">
        <v>0.05</v>
      </c>
      <c r="L191" t="s">
        <v>470</v>
      </c>
    </row>
    <row r="192" spans="10:12" x14ac:dyDescent="0.2">
      <c r="L192" t="s">
        <v>471</v>
      </c>
    </row>
    <row r="195" spans="10:12" x14ac:dyDescent="0.2">
      <c r="J195" t="s">
        <v>472</v>
      </c>
    </row>
    <row r="197" spans="10:12" x14ac:dyDescent="0.2">
      <c r="J197" s="89"/>
    </row>
    <row r="198" spans="10:12" x14ac:dyDescent="0.2">
      <c r="K198" s="89"/>
    </row>
    <row r="201" spans="10:12" x14ac:dyDescent="0.2">
      <c r="J201">
        <f>0.6/(0.12-0.5)</f>
        <v>-1.5789473684210527</v>
      </c>
      <c r="K201" s="21">
        <f>+J201*(1-((1+0.5)/(1+0.12))^2)</f>
        <v>1.2531887755102038</v>
      </c>
      <c r="L201" t="s">
        <v>474</v>
      </c>
    </row>
    <row r="203" spans="10:12" x14ac:dyDescent="0.2">
      <c r="J203" s="89"/>
    </row>
    <row r="207" spans="10:12" x14ac:dyDescent="0.2">
      <c r="K207" t="s">
        <v>475</v>
      </c>
      <c r="L207" t="s">
        <v>473</v>
      </c>
    </row>
    <row r="208" spans="10:12" x14ac:dyDescent="0.2">
      <c r="J208">
        <f>0.6/(0.12-0.2)</f>
        <v>-7.4999999999999982</v>
      </c>
      <c r="K208" s="21">
        <f>+J208*(1-((1+0.2)/(1+0.12))^2)</f>
        <v>1.1096938775510192</v>
      </c>
      <c r="L208" s="21">
        <f>+K208*(1+0.12)</f>
        <v>1.2428571428571416</v>
      </c>
    </row>
    <row r="209" spans="10:12" x14ac:dyDescent="0.2">
      <c r="K209">
        <f>+K208/(1+0.12)^2</f>
        <v>0.88464116513952418</v>
      </c>
      <c r="L209">
        <f>+L208/(1+0.12)^3</f>
        <v>0.88464116513952407</v>
      </c>
    </row>
    <row r="210" spans="10:12" x14ac:dyDescent="0.2">
      <c r="J210" s="89"/>
    </row>
    <row r="213" spans="10:12" x14ac:dyDescent="0.2">
      <c r="K213" t="s">
        <v>476</v>
      </c>
    </row>
    <row r="214" spans="10:12" x14ac:dyDescent="0.2">
      <c r="K214">
        <f>0.6/(0.12-0.05)</f>
        <v>8.5714285714285712</v>
      </c>
      <c r="L214">
        <f>+K214*(1+0.12)</f>
        <v>9.6000000000000014</v>
      </c>
    </row>
    <row r="215" spans="10:12" x14ac:dyDescent="0.2">
      <c r="J215" t="s">
        <v>477</v>
      </c>
      <c r="K215">
        <f>+K214/(1+0.12)^5</f>
        <v>4.8636587633022792</v>
      </c>
      <c r="L215">
        <f>+L214/(1+0.12)^6</f>
        <v>4.8636587633022792</v>
      </c>
    </row>
    <row r="218" spans="10:12" x14ac:dyDescent="0.2">
      <c r="J218" t="s">
        <v>478</v>
      </c>
      <c r="K218">
        <f>+K215+K209+K201</f>
        <v>7.001488703952008</v>
      </c>
    </row>
  </sheetData>
  <mergeCells count="1">
    <mergeCell ref="J80:J8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5CBDCAE-DEB9-D346-AFB9-C1338FC7A6C8}">
  <sheetPr>
    <tabColor theme="4"/>
  </sheetPr>
  <dimension ref="A1:J97"/>
  <sheetViews>
    <sheetView showGridLines="0" topLeftCell="A48" zoomScale="168" workbookViewId="0">
      <selection activeCell="A70" sqref="A70"/>
    </sheetView>
  </sheetViews>
  <sheetFormatPr baseColWidth="10" defaultColWidth="11.1640625" defaultRowHeight="16" x14ac:dyDescent="0.2"/>
  <cols>
    <col min="1" max="1" width="37.5" customWidth="1"/>
  </cols>
  <sheetData>
    <row r="1" spans="1:1" ht="26" x14ac:dyDescent="0.2">
      <c r="A1" s="35" t="s">
        <v>567</v>
      </c>
    </row>
    <row r="2" spans="1:1" x14ac:dyDescent="0.2">
      <c r="A2" s="109" t="s">
        <v>568</v>
      </c>
    </row>
    <row r="3" spans="1:1" x14ac:dyDescent="0.2">
      <c r="A3" s="110"/>
    </row>
    <row r="5" spans="1:1" x14ac:dyDescent="0.2">
      <c r="A5" s="109" t="s">
        <v>569</v>
      </c>
    </row>
    <row r="6" spans="1:1" x14ac:dyDescent="0.2">
      <c r="A6" s="110"/>
    </row>
    <row r="7" spans="1:1" x14ac:dyDescent="0.2">
      <c r="A7" s="109" t="s">
        <v>570</v>
      </c>
    </row>
    <row r="8" spans="1:1" x14ac:dyDescent="0.2">
      <c r="A8" s="110"/>
    </row>
    <row r="10" spans="1:1" x14ac:dyDescent="0.2">
      <c r="A10" s="110" t="s">
        <v>571</v>
      </c>
    </row>
    <row r="11" spans="1:1" x14ac:dyDescent="0.2">
      <c r="A11" s="110"/>
    </row>
    <row r="13" spans="1:1" x14ac:dyDescent="0.2">
      <c r="A13" s="110" t="s">
        <v>572</v>
      </c>
    </row>
    <row r="14" spans="1:1" x14ac:dyDescent="0.2">
      <c r="A14" s="110"/>
    </row>
    <row r="15" spans="1:1" x14ac:dyDescent="0.2">
      <c r="A15" s="110"/>
    </row>
    <row r="17" spans="1:10" x14ac:dyDescent="0.2">
      <c r="A17" s="110" t="s">
        <v>574</v>
      </c>
    </row>
    <row r="18" spans="1:10" x14ac:dyDescent="0.2">
      <c r="A18" s="110" t="s">
        <v>573</v>
      </c>
    </row>
    <row r="19" spans="1:10" ht="26" x14ac:dyDescent="0.2">
      <c r="A19" s="35"/>
    </row>
    <row r="20" spans="1:10" ht="18" x14ac:dyDescent="0.2">
      <c r="A20" s="36" t="s">
        <v>557</v>
      </c>
    </row>
    <row r="21" spans="1:10" s="38" customFormat="1" x14ac:dyDescent="0.2">
      <c r="A21" s="38" t="s">
        <v>523</v>
      </c>
    </row>
    <row r="22" spans="1:10" s="38" customFormat="1" x14ac:dyDescent="0.2"/>
    <row r="23" spans="1:10" s="38" customFormat="1" x14ac:dyDescent="0.2">
      <c r="B23" s="38" t="s">
        <v>543</v>
      </c>
    </row>
    <row r="24" spans="1:10" s="38" customFormat="1" x14ac:dyDescent="0.2">
      <c r="A24" s="38" t="s">
        <v>524</v>
      </c>
      <c r="B24" s="38" t="s">
        <v>525</v>
      </c>
      <c r="C24" s="38" t="s">
        <v>526</v>
      </c>
      <c r="D24" s="38" t="s">
        <v>527</v>
      </c>
      <c r="E24" s="38" t="s">
        <v>528</v>
      </c>
      <c r="F24" s="38" t="s">
        <v>529</v>
      </c>
      <c r="G24" s="38" t="s">
        <v>530</v>
      </c>
      <c r="H24" s="38" t="s">
        <v>531</v>
      </c>
      <c r="I24" s="38" t="s">
        <v>532</v>
      </c>
      <c r="J24" s="38" t="s">
        <v>533</v>
      </c>
    </row>
    <row r="25" spans="1:10" s="38" customFormat="1" x14ac:dyDescent="0.2">
      <c r="A25" s="38">
        <v>0.12</v>
      </c>
      <c r="B25" s="38">
        <v>8.33</v>
      </c>
      <c r="C25" s="38">
        <v>9.18</v>
      </c>
      <c r="D25" s="38">
        <v>10.199999999999999</v>
      </c>
      <c r="E25" s="38">
        <v>11.44</v>
      </c>
      <c r="F25" s="38">
        <v>13</v>
      </c>
      <c r="G25" s="38">
        <v>15</v>
      </c>
      <c r="H25" s="38">
        <v>17.670000000000002</v>
      </c>
      <c r="I25" s="38">
        <v>21.4</v>
      </c>
      <c r="J25" s="38" t="s">
        <v>534</v>
      </c>
    </row>
    <row r="26" spans="1:10" s="38" customFormat="1" x14ac:dyDescent="0.2">
      <c r="A26" s="38">
        <v>0.13</v>
      </c>
      <c r="B26" s="38">
        <v>7.69</v>
      </c>
      <c r="C26" s="38">
        <v>8.42</v>
      </c>
      <c r="D26" s="38">
        <v>9.27</v>
      </c>
      <c r="E26" s="38">
        <v>10.3</v>
      </c>
      <c r="F26" s="38">
        <v>11.56</v>
      </c>
      <c r="G26" s="38">
        <v>13.13</v>
      </c>
      <c r="H26" s="38">
        <v>15.14</v>
      </c>
      <c r="I26" s="38">
        <v>17.829999999999998</v>
      </c>
      <c r="J26" s="38" t="s">
        <v>535</v>
      </c>
    </row>
    <row r="27" spans="1:10" s="38" customFormat="1" x14ac:dyDescent="0.2">
      <c r="A27" s="38">
        <v>0.14000000000000001</v>
      </c>
      <c r="B27" s="38">
        <v>7.14</v>
      </c>
      <c r="C27" s="38">
        <v>7.77</v>
      </c>
      <c r="D27" s="38">
        <v>8.5</v>
      </c>
      <c r="E27" s="38">
        <v>9.36</v>
      </c>
      <c r="F27" s="38">
        <v>10.4</v>
      </c>
      <c r="G27" s="38">
        <v>11.67</v>
      </c>
      <c r="H27" s="38">
        <v>13.25</v>
      </c>
      <c r="I27" s="38">
        <v>15.29</v>
      </c>
      <c r="J27" s="38" t="s">
        <v>536</v>
      </c>
    </row>
    <row r="28" spans="1:10" s="38" customFormat="1" x14ac:dyDescent="0.2">
      <c r="A28" s="38">
        <v>0.15</v>
      </c>
      <c r="B28" s="38">
        <v>6.67</v>
      </c>
      <c r="C28" s="38">
        <v>7.21</v>
      </c>
      <c r="D28" s="38">
        <v>7.85</v>
      </c>
      <c r="E28" s="38">
        <v>8.58</v>
      </c>
      <c r="F28" s="38">
        <v>9.4499999999999993</v>
      </c>
      <c r="G28" s="38">
        <v>10.5</v>
      </c>
      <c r="H28" s="38">
        <v>11.78</v>
      </c>
      <c r="I28" s="38">
        <v>13.38</v>
      </c>
      <c r="J28" s="38" t="s">
        <v>537</v>
      </c>
    </row>
    <row r="29" spans="1:10" s="38" customFormat="1" x14ac:dyDescent="0.2">
      <c r="A29" s="38">
        <v>0.16</v>
      </c>
      <c r="B29" s="38">
        <v>6.25</v>
      </c>
      <c r="C29" s="38">
        <v>6.73</v>
      </c>
      <c r="D29" s="38">
        <v>7.29</v>
      </c>
      <c r="E29" s="38">
        <v>7.92</v>
      </c>
      <c r="F29" s="38">
        <v>8.67</v>
      </c>
      <c r="G29" s="38">
        <v>9.5500000000000007</v>
      </c>
      <c r="H29" s="38">
        <v>10.6</v>
      </c>
      <c r="I29" s="38">
        <v>11.89</v>
      </c>
      <c r="J29" s="38" t="s">
        <v>538</v>
      </c>
    </row>
    <row r="30" spans="1:10" s="38" customFormat="1" x14ac:dyDescent="0.2">
      <c r="A30" s="38">
        <v>0.17</v>
      </c>
      <c r="B30" s="38">
        <v>5.88</v>
      </c>
      <c r="C30" s="38">
        <v>6.31</v>
      </c>
      <c r="D30" s="38">
        <v>6.8</v>
      </c>
      <c r="E30" s="38">
        <v>7.36</v>
      </c>
      <c r="F30" s="38">
        <v>8</v>
      </c>
      <c r="G30" s="38">
        <v>8.75</v>
      </c>
      <c r="H30" s="38">
        <v>9.64</v>
      </c>
      <c r="I30" s="38">
        <v>10.7</v>
      </c>
      <c r="J30" s="38" t="s">
        <v>539</v>
      </c>
    </row>
    <row r="31" spans="1:10" s="38" customFormat="1" x14ac:dyDescent="0.2">
      <c r="A31" s="38">
        <v>0.18</v>
      </c>
      <c r="B31" s="38">
        <v>5.56</v>
      </c>
      <c r="C31" s="38">
        <v>5.94</v>
      </c>
      <c r="D31" s="38">
        <v>6.38</v>
      </c>
      <c r="E31" s="38">
        <v>6.87</v>
      </c>
      <c r="F31" s="38">
        <v>7.43</v>
      </c>
      <c r="G31" s="38">
        <v>8.08</v>
      </c>
      <c r="H31" s="38">
        <v>8.83</v>
      </c>
      <c r="I31" s="38">
        <v>9.73</v>
      </c>
      <c r="J31" s="38" t="s">
        <v>540</v>
      </c>
    </row>
    <row r="32" spans="1:10" s="38" customFormat="1" x14ac:dyDescent="0.2">
      <c r="A32" s="38">
        <v>0.19</v>
      </c>
      <c r="B32" s="38">
        <v>5.26</v>
      </c>
      <c r="C32" s="38">
        <v>5.61</v>
      </c>
      <c r="D32" s="38">
        <v>6</v>
      </c>
      <c r="E32" s="38">
        <v>6.44</v>
      </c>
      <c r="F32" s="38">
        <v>6.93</v>
      </c>
      <c r="G32" s="38">
        <v>7.5</v>
      </c>
      <c r="H32" s="38">
        <v>8.15</v>
      </c>
      <c r="I32" s="38">
        <v>8.92</v>
      </c>
      <c r="J32" s="38" t="s">
        <v>541</v>
      </c>
    </row>
    <row r="33" spans="1:10" s="38" customFormat="1" x14ac:dyDescent="0.2">
      <c r="A33" s="38">
        <v>0.2</v>
      </c>
      <c r="B33" s="38">
        <v>5</v>
      </c>
      <c r="C33" s="38">
        <v>5.32</v>
      </c>
      <c r="D33" s="38">
        <v>5.67</v>
      </c>
      <c r="E33" s="38">
        <v>6.06</v>
      </c>
      <c r="F33" s="38">
        <v>6.5</v>
      </c>
      <c r="G33" s="38">
        <v>7</v>
      </c>
      <c r="H33" s="38">
        <v>7.57</v>
      </c>
      <c r="I33" s="38">
        <v>8.23</v>
      </c>
      <c r="J33" s="38" t="s">
        <v>542</v>
      </c>
    </row>
    <row r="34" spans="1:10" s="38" customFormat="1" x14ac:dyDescent="0.2"/>
    <row r="35" spans="1:10" s="38" customFormat="1" x14ac:dyDescent="0.2">
      <c r="E35" s="38" t="s">
        <v>545</v>
      </c>
      <c r="F35" s="38">
        <v>46.38</v>
      </c>
      <c r="H35" s="38" t="s">
        <v>547</v>
      </c>
      <c r="I35" s="38">
        <f>+F39+F38*F40</f>
        <v>0.1164</v>
      </c>
    </row>
    <row r="36" spans="1:10" s="38" customFormat="1" x14ac:dyDescent="0.2">
      <c r="E36" s="38" t="s">
        <v>544</v>
      </c>
      <c r="F36" s="38">
        <v>16.5</v>
      </c>
      <c r="H36" s="38" t="s">
        <v>548</v>
      </c>
      <c r="I36" s="38">
        <f>+F36/F35</f>
        <v>0.35575679172056918</v>
      </c>
    </row>
    <row r="37" spans="1:10" s="38" customFormat="1" x14ac:dyDescent="0.2">
      <c r="E37" s="38" t="s">
        <v>316</v>
      </c>
      <c r="F37" s="38">
        <v>0.06</v>
      </c>
      <c r="H37" s="38" t="s">
        <v>549</v>
      </c>
      <c r="I37" s="38">
        <f>+I36*(1+F37)/(I35-F37)</f>
        <v>6.6862092060958034</v>
      </c>
    </row>
    <row r="38" spans="1:10" s="38" customFormat="1" x14ac:dyDescent="0.2">
      <c r="E38" s="38" t="s">
        <v>428</v>
      </c>
      <c r="F38" s="38">
        <v>0.92</v>
      </c>
      <c r="H38" s="38" t="s">
        <v>551</v>
      </c>
    </row>
    <row r="39" spans="1:10" s="38" customFormat="1" x14ac:dyDescent="0.2">
      <c r="E39" s="38" t="s">
        <v>427</v>
      </c>
      <c r="F39" s="38">
        <v>7.4999999999999997E-2</v>
      </c>
      <c r="H39" s="38" t="s">
        <v>550</v>
      </c>
      <c r="I39" s="38">
        <f>+F36*(1+F37)/(I35-F37)</f>
        <v>310.10638297872339</v>
      </c>
    </row>
    <row r="40" spans="1:10" s="38" customFormat="1" x14ac:dyDescent="0.2">
      <c r="E40" s="38" t="s">
        <v>546</v>
      </c>
      <c r="F40" s="38">
        <v>4.4999999999999998E-2</v>
      </c>
      <c r="H40" s="38" t="s">
        <v>549</v>
      </c>
      <c r="I40" s="38">
        <f>+I39/F35</f>
        <v>6.6862092060958034</v>
      </c>
    </row>
    <row r="41" spans="1:10" s="38" customFormat="1" x14ac:dyDescent="0.2"/>
    <row r="42" spans="1:10" s="38" customFormat="1" x14ac:dyDescent="0.2">
      <c r="A42" s="38" t="s">
        <v>552</v>
      </c>
    </row>
    <row r="43" spans="1:10" s="38" customFormat="1" x14ac:dyDescent="0.2">
      <c r="A43" s="38" t="s">
        <v>553</v>
      </c>
    </row>
    <row r="44" spans="1:10" s="38" customFormat="1" x14ac:dyDescent="0.2">
      <c r="A44" s="38" t="s">
        <v>554</v>
      </c>
    </row>
    <row r="45" spans="1:10" s="38" customFormat="1" x14ac:dyDescent="0.2">
      <c r="A45" s="38" t="s">
        <v>555</v>
      </c>
    </row>
    <row r="46" spans="1:10" x14ac:dyDescent="0.2">
      <c r="A46" s="38" t="s">
        <v>556</v>
      </c>
    </row>
    <row r="47" spans="1:10" s="38" customFormat="1" x14ac:dyDescent="0.2"/>
    <row r="48" spans="1:10" s="38" customFormat="1" x14ac:dyDescent="0.2"/>
    <row r="49" spans="1:2" s="38" customFormat="1" ht="18" x14ac:dyDescent="0.2">
      <c r="A49" s="36" t="s">
        <v>558</v>
      </c>
    </row>
    <row r="50" spans="1:2" s="38" customFormat="1" x14ac:dyDescent="0.2">
      <c r="A50" s="38" t="s">
        <v>559</v>
      </c>
    </row>
    <row r="51" spans="1:2" s="38" customFormat="1" x14ac:dyDescent="0.2">
      <c r="A51" s="38" t="s">
        <v>148</v>
      </c>
      <c r="B51" s="38">
        <v>32.76</v>
      </c>
    </row>
    <row r="52" spans="1:2" s="38" customFormat="1" x14ac:dyDescent="0.2">
      <c r="A52" s="38" t="s">
        <v>230</v>
      </c>
      <c r="B52" s="38">
        <v>13</v>
      </c>
    </row>
    <row r="53" spans="1:2" s="38" customFormat="1" x14ac:dyDescent="0.2">
      <c r="A53" s="38" t="s">
        <v>450</v>
      </c>
      <c r="B53" s="38">
        <v>0.93</v>
      </c>
    </row>
    <row r="54" spans="1:2" s="38" customFormat="1" x14ac:dyDescent="0.2">
      <c r="A54" s="38" t="s">
        <v>427</v>
      </c>
      <c r="B54" s="38">
        <v>7.4999999999999997E-2</v>
      </c>
    </row>
    <row r="55" spans="1:2" s="38" customFormat="1" x14ac:dyDescent="0.2">
      <c r="A55" s="38" t="s">
        <v>440</v>
      </c>
      <c r="B55" s="38">
        <v>4.4999999999999998E-2</v>
      </c>
    </row>
    <row r="56" spans="1:2" s="38" customFormat="1" x14ac:dyDescent="0.2">
      <c r="A56" s="38" t="s">
        <v>561</v>
      </c>
      <c r="B56" s="38">
        <v>20</v>
      </c>
    </row>
    <row r="57" spans="1:2" s="38" customFormat="1" x14ac:dyDescent="0.2">
      <c r="A57" s="38" t="s">
        <v>543</v>
      </c>
      <c r="B57" s="82">
        <v>0.06</v>
      </c>
    </row>
    <row r="58" spans="1:2" s="38" customFormat="1" x14ac:dyDescent="0.2"/>
    <row r="59" spans="1:2" s="38" customFormat="1" x14ac:dyDescent="0.2">
      <c r="A59" s="38" t="s">
        <v>560</v>
      </c>
      <c r="B59" s="38">
        <f>+B56/B51</f>
        <v>0.61050061050061055</v>
      </c>
    </row>
    <row r="60" spans="1:2" s="38" customFormat="1" x14ac:dyDescent="0.2">
      <c r="A60" s="38" t="s">
        <v>562</v>
      </c>
      <c r="B60" s="38">
        <f>+B52/B51</f>
        <v>0.39682539682539686</v>
      </c>
    </row>
    <row r="61" spans="1:2" s="38" customFormat="1" x14ac:dyDescent="0.2">
      <c r="A61" s="38" t="s">
        <v>510</v>
      </c>
      <c r="B61" s="38">
        <f>+B54+B53*B55</f>
        <v>0.11685</v>
      </c>
    </row>
    <row r="62" spans="1:2" s="38" customFormat="1" x14ac:dyDescent="0.2"/>
    <row r="63" spans="1:2" s="38" customFormat="1" x14ac:dyDescent="0.2">
      <c r="A63" s="38" t="s">
        <v>563</v>
      </c>
      <c r="B63" s="38">
        <f>+B59*(1+B57)/(B61-B57)</f>
        <v>11.38312483958922</v>
      </c>
    </row>
    <row r="64" spans="1:2" s="38" customFormat="1" x14ac:dyDescent="0.2"/>
    <row r="65" spans="1:1" s="38" customFormat="1" x14ac:dyDescent="0.2">
      <c r="A65" s="38" t="s">
        <v>564</v>
      </c>
    </row>
    <row r="66" spans="1:1" s="38" customFormat="1" x14ac:dyDescent="0.2">
      <c r="A66" s="38" t="s">
        <v>565</v>
      </c>
    </row>
    <row r="67" spans="1:1" s="38" customFormat="1" x14ac:dyDescent="0.2"/>
    <row r="68" spans="1:1" s="38" customFormat="1" ht="26" x14ac:dyDescent="0.2">
      <c r="A68" s="35" t="s">
        <v>566</v>
      </c>
    </row>
    <row r="69" spans="1:1" s="38" customFormat="1" x14ac:dyDescent="0.2"/>
    <row r="70" spans="1:1" s="38" customFormat="1" x14ac:dyDescent="0.2"/>
    <row r="71" spans="1:1" s="38" customFormat="1" x14ac:dyDescent="0.2"/>
    <row r="72" spans="1:1" s="38" customFormat="1" x14ac:dyDescent="0.2"/>
    <row r="73" spans="1:1" s="38" customFormat="1" x14ac:dyDescent="0.2"/>
    <row r="74" spans="1:1" s="38" customFormat="1" x14ac:dyDescent="0.2"/>
    <row r="75" spans="1:1" s="38" customFormat="1" x14ac:dyDescent="0.2"/>
    <row r="76" spans="1:1" s="38" customFormat="1" x14ac:dyDescent="0.2"/>
    <row r="77" spans="1:1" s="38" customFormat="1" x14ac:dyDescent="0.2"/>
    <row r="78" spans="1:1" s="38" customFormat="1" x14ac:dyDescent="0.2"/>
    <row r="79" spans="1:1" s="38" customFormat="1" x14ac:dyDescent="0.2"/>
    <row r="80" spans="1:1" s="38" customFormat="1" x14ac:dyDescent="0.2"/>
    <row r="81" s="38" customFormat="1" x14ac:dyDescent="0.2"/>
    <row r="82" s="38" customFormat="1" x14ac:dyDescent="0.2"/>
    <row r="83" s="38" customFormat="1" x14ac:dyDescent="0.2"/>
    <row r="84" s="38" customFormat="1" x14ac:dyDescent="0.2"/>
    <row r="85" s="38" customFormat="1" x14ac:dyDescent="0.2"/>
    <row r="86" s="38" customFormat="1" x14ac:dyDescent="0.2"/>
    <row r="87" s="38" customFormat="1" x14ac:dyDescent="0.2"/>
    <row r="88" s="38" customFormat="1" x14ac:dyDescent="0.2"/>
    <row r="89" s="38" customFormat="1" x14ac:dyDescent="0.2"/>
    <row r="90" s="38" customFormat="1" x14ac:dyDescent="0.2"/>
    <row r="91" s="38" customFormat="1" x14ac:dyDescent="0.2"/>
    <row r="92" s="38" customFormat="1" x14ac:dyDescent="0.2"/>
    <row r="93" s="38" customFormat="1" x14ac:dyDescent="0.2"/>
    <row r="94" s="38" customFormat="1" x14ac:dyDescent="0.2"/>
    <row r="95" s="38" customFormat="1" x14ac:dyDescent="0.2"/>
    <row r="96" s="38" customFormat="1" x14ac:dyDescent="0.2"/>
    <row r="97" s="38" customFormat="1" x14ac:dyDescent="0.2"/>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490B822-FECA-CB41-9FB8-E2EE1F175DFB}">
  <dimension ref="A1:O61"/>
  <sheetViews>
    <sheetView showGridLines="0" topLeftCell="A14" zoomScale="150" zoomScaleNormal="100" workbookViewId="0">
      <selection activeCell="K36" sqref="K36"/>
    </sheetView>
  </sheetViews>
  <sheetFormatPr baseColWidth="10" defaultColWidth="9.1640625" defaultRowHeight="16" x14ac:dyDescent="0.2"/>
  <cols>
    <col min="1" max="1" width="3.5" style="117" customWidth="1"/>
    <col min="2" max="2" width="12.6640625" style="117" customWidth="1"/>
    <col min="3" max="3" width="12.5" style="117" customWidth="1"/>
    <col min="4" max="4" width="11.33203125" style="118" customWidth="1"/>
    <col min="5" max="9" width="11.5" style="117" customWidth="1"/>
    <col min="10" max="14" width="12.5" style="117" customWidth="1"/>
    <col min="15" max="16384" width="9.1640625" style="117"/>
  </cols>
  <sheetData>
    <row r="1" spans="1:15" x14ac:dyDescent="0.2">
      <c r="A1" s="167" t="s">
        <v>717</v>
      </c>
      <c r="B1" s="166"/>
      <c r="C1" s="166"/>
      <c r="D1" s="163"/>
      <c r="E1" s="163"/>
      <c r="F1" s="163"/>
      <c r="G1" s="163"/>
      <c r="H1" s="167"/>
      <c r="I1" s="166"/>
      <c r="J1" s="166"/>
      <c r="K1" s="163"/>
      <c r="L1" s="163"/>
      <c r="M1" s="163"/>
      <c r="N1" s="163"/>
    </row>
    <row r="2" spans="1:15" x14ac:dyDescent="0.2">
      <c r="A2" s="166"/>
      <c r="B2" s="165" t="s">
        <v>716</v>
      </c>
      <c r="C2" s="164"/>
      <c r="D2" s="164"/>
      <c r="E2" s="164"/>
      <c r="F2" s="163"/>
      <c r="G2" s="163"/>
      <c r="H2" s="166"/>
      <c r="I2" s="165"/>
      <c r="J2" s="164"/>
      <c r="K2" s="164"/>
      <c r="L2" s="164"/>
      <c r="M2" s="163"/>
      <c r="N2" s="163"/>
    </row>
    <row r="3" spans="1:15" x14ac:dyDescent="0.2">
      <c r="A3" s="119"/>
      <c r="B3" s="129"/>
      <c r="C3" s="119"/>
      <c r="D3" s="120"/>
      <c r="E3" s="138"/>
      <c r="F3" s="138"/>
      <c r="G3" s="138"/>
      <c r="H3" s="138"/>
      <c r="I3" s="138"/>
      <c r="J3" s="119"/>
      <c r="K3" s="119"/>
      <c r="L3" s="119"/>
      <c r="M3" s="119"/>
      <c r="N3" s="119"/>
      <c r="O3" s="119"/>
    </row>
    <row r="4" spans="1:15" x14ac:dyDescent="0.2">
      <c r="A4" s="119"/>
      <c r="B4" s="162" t="s">
        <v>715</v>
      </c>
      <c r="C4" s="161"/>
      <c r="D4" s="161"/>
      <c r="E4" s="138"/>
      <c r="F4" s="119"/>
      <c r="G4" s="119"/>
      <c r="H4" s="119"/>
      <c r="I4" s="119"/>
      <c r="J4" s="119"/>
      <c r="K4" s="119"/>
      <c r="L4" s="119"/>
      <c r="M4" s="119"/>
      <c r="N4" s="119"/>
      <c r="O4" s="119"/>
    </row>
    <row r="5" spans="1:15" x14ac:dyDescent="0.2">
      <c r="A5" s="119"/>
      <c r="B5" s="160" t="s">
        <v>714</v>
      </c>
      <c r="C5" s="142"/>
      <c r="D5" s="159">
        <v>0.25</v>
      </c>
      <c r="E5" s="138"/>
      <c r="F5" s="119"/>
      <c r="G5" s="119"/>
      <c r="H5" s="119"/>
      <c r="I5" s="119"/>
      <c r="J5" s="119"/>
      <c r="K5" s="119"/>
      <c r="L5" s="119"/>
      <c r="M5" s="119"/>
      <c r="N5" s="119"/>
      <c r="O5" s="119"/>
    </row>
    <row r="6" spans="1:15" x14ac:dyDescent="0.2">
      <c r="A6" s="119"/>
      <c r="B6" s="139" t="s">
        <v>713</v>
      </c>
      <c r="C6" s="119"/>
      <c r="D6" s="158">
        <v>0.12</v>
      </c>
      <c r="E6" s="119"/>
      <c r="F6" s="119"/>
      <c r="G6" s="119"/>
      <c r="H6" s="119"/>
      <c r="I6" s="119"/>
      <c r="J6" s="119"/>
      <c r="K6" s="119"/>
      <c r="L6" s="119"/>
      <c r="M6" s="119"/>
      <c r="N6" s="119"/>
      <c r="O6" s="119"/>
    </row>
    <row r="7" spans="1:15" x14ac:dyDescent="0.2">
      <c r="A7" s="119"/>
      <c r="B7" s="119" t="s">
        <v>712</v>
      </c>
      <c r="C7" s="119"/>
      <c r="D7" s="158">
        <v>0.03</v>
      </c>
      <c r="E7" s="119"/>
      <c r="F7" s="119"/>
      <c r="G7" s="119"/>
      <c r="H7" s="119"/>
      <c r="I7" s="119"/>
      <c r="J7" s="119"/>
      <c r="K7" s="119"/>
      <c r="L7" s="119"/>
      <c r="M7" s="119"/>
      <c r="N7" s="119"/>
      <c r="O7" s="119"/>
    </row>
    <row r="8" spans="1:15" x14ac:dyDescent="0.2">
      <c r="A8" s="119"/>
      <c r="B8" s="119" t="s">
        <v>711</v>
      </c>
      <c r="C8" s="119"/>
      <c r="D8" s="157">
        <v>7</v>
      </c>
      <c r="E8" s="119"/>
      <c r="F8" s="119"/>
      <c r="G8" s="119"/>
      <c r="H8" s="119"/>
      <c r="I8" s="119"/>
      <c r="J8" s="119"/>
      <c r="K8" s="119"/>
      <c r="L8" s="119"/>
      <c r="M8" s="119"/>
      <c r="N8" s="119"/>
      <c r="O8" s="119"/>
    </row>
    <row r="9" spans="1:15" x14ac:dyDescent="0.2">
      <c r="A9" s="119"/>
      <c r="B9" s="119" t="s">
        <v>710</v>
      </c>
      <c r="C9" s="119"/>
      <c r="D9" s="153">
        <v>43100</v>
      </c>
      <c r="E9" s="119"/>
      <c r="F9" s="119"/>
      <c r="G9" s="119"/>
      <c r="H9" s="119"/>
      <c r="I9" s="119"/>
      <c r="J9" s="119"/>
      <c r="K9" s="119"/>
      <c r="L9" s="119"/>
      <c r="M9" s="119"/>
      <c r="N9" s="119"/>
      <c r="O9" s="119"/>
    </row>
    <row r="10" spans="1:15" x14ac:dyDescent="0.2">
      <c r="A10" s="119"/>
      <c r="B10" s="119" t="s">
        <v>709</v>
      </c>
      <c r="C10" s="119"/>
      <c r="D10" s="156">
        <v>43281</v>
      </c>
      <c r="E10" s="119"/>
      <c r="F10" s="119"/>
      <c r="G10" s="119"/>
      <c r="H10" s="119"/>
      <c r="I10" s="119"/>
      <c r="J10" s="119"/>
      <c r="K10" s="119"/>
      <c r="L10" s="119"/>
      <c r="M10" s="119"/>
      <c r="N10" s="119"/>
      <c r="O10" s="119"/>
    </row>
    <row r="11" spans="1:15" x14ac:dyDescent="0.2">
      <c r="A11" s="119"/>
      <c r="B11" s="119" t="s">
        <v>708</v>
      </c>
      <c r="C11" s="119"/>
      <c r="D11" s="155">
        <v>25</v>
      </c>
      <c r="E11" s="119"/>
      <c r="F11" s="119"/>
      <c r="G11" s="119"/>
      <c r="H11" s="119"/>
      <c r="I11" s="119"/>
      <c r="J11" s="119"/>
      <c r="K11" s="119"/>
      <c r="L11" s="119"/>
      <c r="M11" s="119"/>
      <c r="N11" s="119"/>
      <c r="O11" s="119"/>
    </row>
    <row r="12" spans="1:15" x14ac:dyDescent="0.2">
      <c r="A12" s="119"/>
      <c r="B12" s="119" t="s">
        <v>707</v>
      </c>
      <c r="C12" s="119"/>
      <c r="D12" s="154">
        <v>20000</v>
      </c>
      <c r="E12" s="119"/>
      <c r="F12" s="119"/>
      <c r="G12" s="119"/>
      <c r="H12" s="119"/>
      <c r="I12" s="119"/>
      <c r="J12" s="119"/>
      <c r="K12" s="119"/>
      <c r="L12" s="119"/>
      <c r="M12" s="119"/>
      <c r="N12" s="119"/>
      <c r="O12" s="119"/>
    </row>
    <row r="13" spans="1:15" x14ac:dyDescent="0.2">
      <c r="A13" s="119"/>
      <c r="B13" s="119" t="s">
        <v>706</v>
      </c>
      <c r="C13" s="119"/>
      <c r="D13" s="154">
        <v>30000</v>
      </c>
      <c r="E13" s="119"/>
      <c r="F13" s="119"/>
      <c r="G13" s="119"/>
      <c r="H13" s="119"/>
      <c r="I13" s="119"/>
      <c r="J13" s="119"/>
      <c r="K13" s="119"/>
      <c r="L13" s="119"/>
      <c r="M13" s="119"/>
      <c r="N13" s="119"/>
      <c r="O13" s="119"/>
    </row>
    <row r="14" spans="1:15" x14ac:dyDescent="0.2">
      <c r="A14" s="119"/>
      <c r="B14" s="119" t="s">
        <v>705</v>
      </c>
      <c r="C14" s="119"/>
      <c r="D14" s="154">
        <v>239549.5203651849</v>
      </c>
      <c r="E14" s="119"/>
      <c r="F14" s="119"/>
      <c r="G14" s="119"/>
      <c r="H14" s="119"/>
      <c r="I14" s="119"/>
      <c r="J14" s="119"/>
      <c r="K14" s="119"/>
      <c r="L14" s="119"/>
      <c r="M14" s="119"/>
      <c r="N14" s="119"/>
      <c r="O14" s="119"/>
    </row>
    <row r="15" spans="1:15" x14ac:dyDescent="0.2">
      <c r="A15" s="119"/>
      <c r="B15" s="119" t="s">
        <v>704</v>
      </c>
      <c r="C15" s="119"/>
      <c r="D15" s="138">
        <v>15000</v>
      </c>
      <c r="E15" s="119"/>
      <c r="F15" s="119"/>
      <c r="G15" s="119"/>
      <c r="H15" s="119"/>
      <c r="I15" s="119"/>
      <c r="J15" s="119"/>
      <c r="K15" s="119"/>
      <c r="L15" s="119"/>
      <c r="M15" s="119"/>
      <c r="N15" s="119"/>
      <c r="O15" s="119"/>
    </row>
    <row r="16" spans="1:15" x14ac:dyDescent="0.2">
      <c r="A16" s="119"/>
      <c r="B16" s="119"/>
      <c r="C16" s="119"/>
      <c r="D16" s="153"/>
      <c r="J16" s="119"/>
      <c r="K16" s="119"/>
      <c r="L16" s="119"/>
      <c r="M16" s="119"/>
      <c r="N16" s="119"/>
      <c r="O16" s="119"/>
    </row>
    <row r="17" spans="1:15" x14ac:dyDescent="0.2">
      <c r="A17" s="119"/>
      <c r="B17" s="132" t="s">
        <v>703</v>
      </c>
      <c r="C17" s="131"/>
      <c r="D17" s="151" t="s">
        <v>702</v>
      </c>
      <c r="E17" s="152">
        <f>YEAR(E18)</f>
        <v>2018</v>
      </c>
      <c r="F17" s="152">
        <f>YEAR(F18)</f>
        <v>2019</v>
      </c>
      <c r="G17" s="152">
        <f>YEAR(G18)</f>
        <v>2020</v>
      </c>
      <c r="H17" s="152">
        <f>YEAR(H18)</f>
        <v>2021</v>
      </c>
      <c r="I17" s="152">
        <f>YEAR(I18)</f>
        <v>2022</v>
      </c>
      <c r="J17" s="151" t="s">
        <v>701</v>
      </c>
      <c r="K17" s="119"/>
      <c r="L17" s="132" t="s">
        <v>700</v>
      </c>
      <c r="M17" s="131"/>
      <c r="N17" s="131"/>
      <c r="O17" s="119"/>
    </row>
    <row r="18" spans="1:15" x14ac:dyDescent="0.2">
      <c r="A18" s="119"/>
      <c r="B18" s="136" t="s">
        <v>699</v>
      </c>
      <c r="C18" s="136"/>
      <c r="D18" s="145">
        <f>D9</f>
        <v>43100</v>
      </c>
      <c r="E18" s="150">
        <f>DATE(YEAR($D$10)+E19,6,30)</f>
        <v>43281</v>
      </c>
      <c r="F18" s="150">
        <f>DATE(YEAR($D$10)+F19,6,30)</f>
        <v>43646</v>
      </c>
      <c r="G18" s="150">
        <f>DATE(YEAR($D$10)+G19,6,30)</f>
        <v>44012</v>
      </c>
      <c r="H18" s="150">
        <f>DATE(YEAR($D$10)+H19,6,30)</f>
        <v>44377</v>
      </c>
      <c r="I18" s="150">
        <f>DATE(YEAR($D$10)+I19,6,30)</f>
        <v>44742</v>
      </c>
      <c r="J18" s="149">
        <f>I18</f>
        <v>44742</v>
      </c>
      <c r="K18" s="119"/>
      <c r="L18" s="136" t="s">
        <v>698</v>
      </c>
      <c r="M18" s="136"/>
      <c r="N18" s="136">
        <f>(I26*(1+D7))/(D6-D7)</f>
        <v>537980.78713210777</v>
      </c>
      <c r="O18" s="119"/>
    </row>
    <row r="19" spans="1:15" x14ac:dyDescent="0.2">
      <c r="A19" s="119"/>
      <c r="B19" s="148" t="s">
        <v>697</v>
      </c>
      <c r="C19" s="148"/>
      <c r="D19" s="145"/>
      <c r="E19" s="147">
        <v>0</v>
      </c>
      <c r="F19" s="146">
        <f>E19+1</f>
        <v>1</v>
      </c>
      <c r="G19" s="146">
        <f>F19+1</f>
        <v>2</v>
      </c>
      <c r="H19" s="146">
        <f>G19+1</f>
        <v>3</v>
      </c>
      <c r="I19" s="146">
        <f>H19+1</f>
        <v>4</v>
      </c>
      <c r="J19" s="145"/>
      <c r="K19" s="119"/>
      <c r="L19" s="119" t="s">
        <v>696</v>
      </c>
      <c r="M19" s="119"/>
      <c r="N19" s="141">
        <f>D8*(I21+I23)</f>
        <v>546277.73326543404</v>
      </c>
      <c r="O19" s="119"/>
    </row>
    <row r="20" spans="1:15" x14ac:dyDescent="0.2">
      <c r="A20" s="119"/>
      <c r="B20" s="144" t="s">
        <v>695</v>
      </c>
      <c r="C20" s="119"/>
      <c r="D20" s="119"/>
      <c r="E20" s="143">
        <f>YEARFRAC(D18,E18)</f>
        <v>0.5</v>
      </c>
      <c r="F20" s="143">
        <f>YEARFRAC(E18,F18)</f>
        <v>1</v>
      </c>
      <c r="G20" s="143">
        <f>YEARFRAC(F18,G18)</f>
        <v>1</v>
      </c>
      <c r="H20" s="143">
        <f>YEARFRAC(G18,H18)</f>
        <v>1</v>
      </c>
      <c r="I20" s="143">
        <f>YEARFRAC(H18,I18)</f>
        <v>1</v>
      </c>
      <c r="J20" s="119"/>
      <c r="K20" s="119"/>
      <c r="L20" s="119" t="s">
        <v>694</v>
      </c>
      <c r="M20" s="119"/>
      <c r="N20" s="133">
        <f>AVERAGE(N18:N19)</f>
        <v>542129.26019877091</v>
      </c>
      <c r="O20" s="119"/>
    </row>
    <row r="21" spans="1:15" x14ac:dyDescent="0.2">
      <c r="A21" s="119"/>
      <c r="B21" s="119" t="s">
        <v>100</v>
      </c>
      <c r="C21" s="119"/>
      <c r="D21" s="119"/>
      <c r="E21" s="142">
        <v>47814.456000000006</v>
      </c>
      <c r="F21" s="142">
        <v>51094.853419999992</v>
      </c>
      <c r="G21" s="142">
        <v>55861.390037599995</v>
      </c>
      <c r="H21" s="142">
        <v>58692.857260915989</v>
      </c>
      <c r="I21" s="142">
        <v>63038.584948776297</v>
      </c>
      <c r="J21" s="119"/>
      <c r="K21" s="119"/>
      <c r="L21" s="119"/>
      <c r="M21" s="119"/>
      <c r="N21" s="119"/>
      <c r="O21" s="119"/>
    </row>
    <row r="22" spans="1:15" x14ac:dyDescent="0.2">
      <c r="A22" s="119"/>
      <c r="B22" s="119" t="s">
        <v>693</v>
      </c>
      <c r="C22" s="119"/>
      <c r="D22" s="119"/>
      <c r="E22" s="141">
        <f>E21*$D$5</f>
        <v>11953.614000000001</v>
      </c>
      <c r="F22" s="141">
        <f>F21*$D$5</f>
        <v>12773.713354999998</v>
      </c>
      <c r="G22" s="141">
        <f>G21*$D$5</f>
        <v>13965.347509399999</v>
      </c>
      <c r="H22" s="141">
        <f>H21*$D$5</f>
        <v>14673.214315228997</v>
      </c>
      <c r="I22" s="141">
        <f>I21*$D$5</f>
        <v>15759.646237194074</v>
      </c>
      <c r="J22" s="119"/>
      <c r="K22" s="119"/>
      <c r="L22" s="119"/>
      <c r="M22" s="119"/>
      <c r="N22" s="119"/>
      <c r="O22" s="119"/>
    </row>
    <row r="23" spans="1:15" x14ac:dyDescent="0.2">
      <c r="A23" s="119"/>
      <c r="B23" s="119" t="s">
        <v>692</v>
      </c>
      <c r="C23" s="119"/>
      <c r="D23" s="119"/>
      <c r="E23" s="140">
        <v>15008.420000000002</v>
      </c>
      <c r="F23" s="140">
        <v>15005.052000000003</v>
      </c>
      <c r="G23" s="140">
        <v>15003.031200000001</v>
      </c>
      <c r="H23" s="140">
        <v>15001.818719999999</v>
      </c>
      <c r="I23" s="140">
        <v>15001.091232000001</v>
      </c>
      <c r="J23" s="119"/>
      <c r="K23" s="119"/>
      <c r="L23" s="119"/>
      <c r="M23" s="119"/>
      <c r="N23" s="119"/>
      <c r="O23" s="119"/>
    </row>
    <row r="24" spans="1:15" x14ac:dyDescent="0.2">
      <c r="A24" s="119"/>
      <c r="B24" s="119" t="s">
        <v>691</v>
      </c>
      <c r="C24" s="119"/>
      <c r="D24" s="119"/>
      <c r="E24" s="139">
        <f>$D$15</f>
        <v>15000</v>
      </c>
      <c r="F24" s="139">
        <f>$D$15</f>
        <v>15000</v>
      </c>
      <c r="G24" s="139">
        <f>$D$15</f>
        <v>15000</v>
      </c>
      <c r="H24" s="139">
        <f>$D$15</f>
        <v>15000</v>
      </c>
      <c r="I24" s="139">
        <f>$D$15</f>
        <v>15000</v>
      </c>
      <c r="J24" s="119"/>
      <c r="K24" s="119"/>
      <c r="L24" s="119"/>
      <c r="M24" s="119"/>
      <c r="N24" s="119"/>
      <c r="O24" s="119"/>
    </row>
    <row r="25" spans="1:15" x14ac:dyDescent="0.2">
      <c r="A25" s="119"/>
      <c r="B25" s="119" t="s">
        <v>690</v>
      </c>
      <c r="C25" s="119"/>
      <c r="D25" s="119"/>
      <c r="E25" s="138">
        <v>375</v>
      </c>
      <c r="F25" s="138">
        <v>611</v>
      </c>
      <c r="G25" s="138">
        <v>398</v>
      </c>
      <c r="H25" s="138">
        <v>511</v>
      </c>
      <c r="I25" s="138">
        <v>272</v>
      </c>
      <c r="J25" s="119"/>
      <c r="K25" s="119"/>
      <c r="L25" s="119"/>
      <c r="M25" s="119"/>
      <c r="N25" s="119"/>
      <c r="O25" s="119"/>
    </row>
    <row r="26" spans="1:15" x14ac:dyDescent="0.2">
      <c r="A26" s="119"/>
      <c r="B26" s="119" t="s">
        <v>689</v>
      </c>
      <c r="C26" s="119"/>
      <c r="D26" s="119"/>
      <c r="E26" s="133">
        <f>E21-E22+E23-E24-E25</f>
        <v>35494.262000000002</v>
      </c>
      <c r="F26" s="133">
        <f>F21-F22+F23-F24-F25</f>
        <v>37715.192064999996</v>
      </c>
      <c r="G26" s="133">
        <f>G21-G22+G23-G24-G25</f>
        <v>41501.07372819999</v>
      </c>
      <c r="H26" s="133">
        <f>H21-H22+H23-H24-H25</f>
        <v>43510.461665686991</v>
      </c>
      <c r="I26" s="133">
        <f>I21-I22+I23-I24-I25</f>
        <v>47008.029943582223</v>
      </c>
      <c r="J26" s="119"/>
      <c r="K26" s="119"/>
      <c r="L26" s="119"/>
      <c r="M26" s="119"/>
      <c r="N26" s="119"/>
      <c r="O26" s="119"/>
    </row>
    <row r="27" spans="1:15" x14ac:dyDescent="0.2">
      <c r="A27" s="119"/>
      <c r="B27" s="119" t="s">
        <v>688</v>
      </c>
      <c r="C27" s="119"/>
      <c r="D27" s="137">
        <f>-I35</f>
        <v>-290450.47963481513</v>
      </c>
      <c r="E27" s="119"/>
      <c r="F27" s="119"/>
      <c r="G27" s="119"/>
      <c r="H27" s="119"/>
      <c r="I27" s="119"/>
      <c r="J27" s="137">
        <f>N20</f>
        <v>542129.26019877091</v>
      </c>
      <c r="K27" s="119"/>
      <c r="L27" s="119"/>
      <c r="M27" s="119"/>
      <c r="N27" s="119"/>
      <c r="O27" s="119"/>
    </row>
    <row r="28" spans="1:15" x14ac:dyDescent="0.2">
      <c r="A28" s="119"/>
      <c r="B28" s="119" t="s">
        <v>687</v>
      </c>
      <c r="C28" s="119"/>
      <c r="D28" s="133">
        <v>0</v>
      </c>
      <c r="E28" s="133">
        <f>(E27+E26)*E20</f>
        <v>17747.131000000001</v>
      </c>
      <c r="F28" s="133">
        <f>(F27+F26)*F20</f>
        <v>37715.192064999996</v>
      </c>
      <c r="G28" s="133">
        <f>(G27+G26)*G20</f>
        <v>41501.07372819999</v>
      </c>
      <c r="H28" s="133">
        <f>(H27+H26)*H20</f>
        <v>43510.461665686991</v>
      </c>
      <c r="I28" s="133">
        <f>(I27+I26)*I20</f>
        <v>47008.029943582223</v>
      </c>
      <c r="J28" s="133">
        <f>J27+J26</f>
        <v>542129.26019877091</v>
      </c>
      <c r="K28" s="119"/>
      <c r="L28" s="119"/>
      <c r="M28" s="119"/>
      <c r="N28" s="119"/>
      <c r="O28" s="119"/>
    </row>
    <row r="29" spans="1:15" x14ac:dyDescent="0.2">
      <c r="A29" s="119"/>
      <c r="B29" s="119" t="s">
        <v>687</v>
      </c>
      <c r="C29" s="119"/>
      <c r="D29" s="136">
        <f>D27+D26</f>
        <v>-290450.47963481513</v>
      </c>
      <c r="E29" s="136">
        <f>(E27+E26)*E20</f>
        <v>17747.131000000001</v>
      </c>
      <c r="F29" s="136">
        <f>(F27+F26)*F20</f>
        <v>37715.192064999996</v>
      </c>
      <c r="G29" s="136">
        <f>(G27+G26)*G20</f>
        <v>41501.07372819999</v>
      </c>
      <c r="H29" s="136">
        <f>(H27+H26)*H20</f>
        <v>43510.461665686991</v>
      </c>
      <c r="I29" s="136">
        <f>(I27+I26)*I20</f>
        <v>47008.029943582223</v>
      </c>
      <c r="J29" s="136">
        <f>J27</f>
        <v>542129.26019877091</v>
      </c>
      <c r="K29" s="119"/>
      <c r="L29" s="119"/>
      <c r="M29" s="119"/>
      <c r="N29" s="119"/>
      <c r="O29" s="119"/>
    </row>
    <row r="30" spans="1:15" x14ac:dyDescent="0.2">
      <c r="A30" s="119"/>
      <c r="B30" s="119"/>
      <c r="C30" s="119"/>
      <c r="D30" s="120"/>
      <c r="E30" s="119"/>
      <c r="G30" s="119"/>
      <c r="H30" s="119"/>
      <c r="I30" s="119"/>
      <c r="J30" s="119"/>
      <c r="L30" s="119"/>
      <c r="M30" s="119"/>
      <c r="N30" s="119"/>
      <c r="O30" s="119"/>
    </row>
    <row r="31" spans="1:15" x14ac:dyDescent="0.2">
      <c r="A31" s="119"/>
      <c r="B31" s="132" t="s">
        <v>672</v>
      </c>
      <c r="C31" s="131"/>
      <c r="D31" s="131"/>
      <c r="E31" s="119"/>
      <c r="G31" s="132" t="s">
        <v>675</v>
      </c>
      <c r="H31" s="131"/>
      <c r="I31" s="131"/>
      <c r="J31" s="119"/>
      <c r="L31" s="132" t="s">
        <v>686</v>
      </c>
      <c r="M31" s="131"/>
      <c r="N31" s="131"/>
      <c r="O31" s="119"/>
    </row>
    <row r="32" spans="1:15" x14ac:dyDescent="0.2">
      <c r="A32" s="119"/>
      <c r="B32" s="136" t="s">
        <v>677</v>
      </c>
      <c r="C32" s="136"/>
      <c r="D32" s="136">
        <f>XNPV(D6,D28:J28,D18:J18)</f>
        <v>462982.97544626746</v>
      </c>
      <c r="E32" s="119"/>
      <c r="G32" s="136" t="s">
        <v>685</v>
      </c>
      <c r="H32" s="136"/>
      <c r="I32" s="136">
        <f>D12*D11</f>
        <v>500000</v>
      </c>
      <c r="J32" s="119"/>
      <c r="L32" s="136" t="s">
        <v>684</v>
      </c>
      <c r="M32" s="136"/>
      <c r="N32" s="135">
        <f>D37/I37-1</f>
        <v>0.34506499162290472</v>
      </c>
      <c r="O32" s="119"/>
    </row>
    <row r="33" spans="1:15" x14ac:dyDescent="0.2">
      <c r="A33" s="119"/>
      <c r="B33" s="119" t="s">
        <v>683</v>
      </c>
      <c r="C33" s="119"/>
      <c r="D33" s="119">
        <f>+D14</f>
        <v>239549.5203651849</v>
      </c>
      <c r="E33" s="119"/>
      <c r="G33" s="119" t="s">
        <v>682</v>
      </c>
      <c r="H33" s="119"/>
      <c r="I33" s="119">
        <f>D13</f>
        <v>30000</v>
      </c>
      <c r="J33" s="119"/>
      <c r="L33" s="119" t="s">
        <v>681</v>
      </c>
      <c r="M33" s="119"/>
      <c r="N33" s="134">
        <f>XIRR(D29:J29,D18:J18)</f>
        <v>0.26347765326499939</v>
      </c>
      <c r="O33" s="119"/>
    </row>
    <row r="34" spans="1:15" x14ac:dyDescent="0.2">
      <c r="A34" s="119"/>
      <c r="B34" s="119" t="s">
        <v>680</v>
      </c>
      <c r="C34" s="119"/>
      <c r="D34" s="119">
        <f>+D13</f>
        <v>30000</v>
      </c>
      <c r="E34" s="119"/>
      <c r="G34" s="119" t="s">
        <v>679</v>
      </c>
      <c r="H34" s="119"/>
      <c r="I34" s="119">
        <f>+D14</f>
        <v>239549.5203651849</v>
      </c>
      <c r="J34" s="119"/>
      <c r="L34" s="119"/>
      <c r="M34" s="119"/>
      <c r="N34" s="119"/>
      <c r="O34" s="119"/>
    </row>
    <row r="35" spans="1:15" x14ac:dyDescent="0.2">
      <c r="A35" s="119"/>
      <c r="B35" s="119" t="s">
        <v>678</v>
      </c>
      <c r="C35" s="119"/>
      <c r="D35" s="133">
        <f>D32+D33-D34</f>
        <v>672532.49581145239</v>
      </c>
      <c r="E35" s="119"/>
      <c r="G35" s="119" t="s">
        <v>677</v>
      </c>
      <c r="H35" s="119"/>
      <c r="I35" s="133">
        <f>I32+I33-I34</f>
        <v>290450.47963481513</v>
      </c>
      <c r="J35" s="119"/>
      <c r="L35" s="132" t="s">
        <v>676</v>
      </c>
      <c r="M35" s="131"/>
      <c r="N35" s="131"/>
      <c r="O35" s="119"/>
    </row>
    <row r="36" spans="1:15" x14ac:dyDescent="0.2">
      <c r="A36" s="119"/>
      <c r="B36" s="119"/>
      <c r="C36" s="119"/>
      <c r="D36" s="119"/>
      <c r="E36" s="119"/>
      <c r="G36" s="119"/>
      <c r="H36" s="119"/>
      <c r="I36" s="130"/>
      <c r="J36" s="119"/>
      <c r="L36" s="119" t="s">
        <v>675</v>
      </c>
      <c r="M36" s="119"/>
      <c r="N36" s="130">
        <f>I37</f>
        <v>25</v>
      </c>
      <c r="O36" s="119"/>
    </row>
    <row r="37" spans="1:15" x14ac:dyDescent="0.2">
      <c r="A37" s="119"/>
      <c r="B37" s="119" t="s">
        <v>674</v>
      </c>
      <c r="C37" s="119"/>
      <c r="D37" s="130">
        <f>D35/D12</f>
        <v>33.62662479057262</v>
      </c>
      <c r="E37" s="119"/>
      <c r="G37" s="119" t="s">
        <v>674</v>
      </c>
      <c r="H37" s="119"/>
      <c r="I37" s="130">
        <f>D11</f>
        <v>25</v>
      </c>
      <c r="J37" s="119"/>
      <c r="L37" s="119" t="s">
        <v>673</v>
      </c>
      <c r="M37" s="119"/>
      <c r="N37" s="130">
        <f>D37-I37</f>
        <v>8.6266247905726203</v>
      </c>
      <c r="O37" s="119"/>
    </row>
    <row r="38" spans="1:15" x14ac:dyDescent="0.2">
      <c r="A38" s="119"/>
      <c r="B38" s="119"/>
      <c r="C38" s="119"/>
      <c r="D38" s="119"/>
      <c r="E38" s="119"/>
      <c r="G38" s="119"/>
      <c r="H38" s="119"/>
      <c r="I38" s="119"/>
      <c r="J38" s="119"/>
      <c r="L38" s="119" t="s">
        <v>672</v>
      </c>
      <c r="M38" s="119"/>
      <c r="N38" s="130">
        <f>SUM(N36:N37)</f>
        <v>33.62662479057262</v>
      </c>
      <c r="O38" s="119"/>
    </row>
    <row r="39" spans="1:15" x14ac:dyDescent="0.2">
      <c r="A39" s="119"/>
      <c r="C39" s="119"/>
      <c r="D39" s="120"/>
      <c r="E39" s="119"/>
      <c r="G39" s="119"/>
      <c r="H39" s="119"/>
      <c r="I39" s="129"/>
      <c r="J39" s="119"/>
      <c r="L39" s="119"/>
      <c r="M39" s="119"/>
      <c r="N39" s="119"/>
      <c r="O39" s="119"/>
    </row>
    <row r="40" spans="1:15" x14ac:dyDescent="0.2">
      <c r="A40" s="119"/>
      <c r="C40" s="119"/>
      <c r="D40" s="120"/>
      <c r="E40" s="119"/>
      <c r="F40" s="119"/>
      <c r="G40" s="119"/>
      <c r="H40" s="129"/>
      <c r="I40" s="119"/>
      <c r="K40" s="119"/>
      <c r="L40" s="119"/>
      <c r="M40" s="119"/>
      <c r="N40" s="119"/>
      <c r="O40" s="119"/>
    </row>
    <row r="41" spans="1:15" x14ac:dyDescent="0.2">
      <c r="A41" s="119"/>
      <c r="B41" s="128" t="s">
        <v>671</v>
      </c>
      <c r="C41" s="126"/>
      <c r="D41" s="127"/>
      <c r="E41" s="126"/>
      <c r="F41" s="126"/>
      <c r="G41" s="126"/>
      <c r="H41" s="126"/>
      <c r="I41" s="126"/>
      <c r="J41" s="126"/>
      <c r="K41" s="126"/>
      <c r="L41" s="126"/>
      <c r="M41" s="126"/>
      <c r="N41" s="126"/>
      <c r="O41" s="119"/>
    </row>
    <row r="42" spans="1:15" x14ac:dyDescent="0.2">
      <c r="A42" s="119"/>
      <c r="B42" s="119" t="s">
        <v>670</v>
      </c>
      <c r="C42" s="119"/>
      <c r="D42" s="120"/>
      <c r="E42" s="119"/>
      <c r="F42" s="119"/>
      <c r="G42" s="119"/>
      <c r="H42" s="119"/>
      <c r="N42" s="125"/>
      <c r="O42" s="119"/>
    </row>
    <row r="43" spans="1:15" x14ac:dyDescent="0.2">
      <c r="A43" s="119"/>
      <c r="B43" s="119" t="s">
        <v>669</v>
      </c>
      <c r="C43" s="119"/>
      <c r="D43" s="120"/>
      <c r="E43" s="119"/>
      <c r="F43" s="119"/>
      <c r="G43" s="119"/>
      <c r="H43" s="119"/>
      <c r="N43" s="123"/>
      <c r="O43" s="119"/>
    </row>
    <row r="44" spans="1:15" x14ac:dyDescent="0.2">
      <c r="A44" s="119"/>
      <c r="B44" s="124" t="s">
        <v>668</v>
      </c>
      <c r="C44" s="119"/>
      <c r="D44" s="120"/>
      <c r="E44" s="119"/>
      <c r="F44" s="119"/>
      <c r="G44" s="119"/>
      <c r="H44" s="119"/>
      <c r="N44" s="123"/>
      <c r="O44" s="119"/>
    </row>
    <row r="45" spans="1:15" x14ac:dyDescent="0.2">
      <c r="A45" s="119"/>
      <c r="B45" s="124" t="s">
        <v>667</v>
      </c>
      <c r="C45" s="119"/>
      <c r="D45" s="120"/>
      <c r="E45" s="119"/>
      <c r="F45" s="119"/>
      <c r="G45" s="119"/>
      <c r="H45" s="119"/>
      <c r="N45" s="123"/>
      <c r="O45" s="119"/>
    </row>
    <row r="46" spans="1:15" x14ac:dyDescent="0.2">
      <c r="A46" s="119"/>
      <c r="B46" s="124" t="s">
        <v>666</v>
      </c>
      <c r="C46" s="119"/>
      <c r="D46" s="120"/>
      <c r="E46" s="119"/>
      <c r="F46" s="119"/>
      <c r="G46" s="119"/>
      <c r="H46" s="119"/>
      <c r="N46" s="123"/>
      <c r="O46" s="119"/>
    </row>
    <row r="47" spans="1:15" x14ac:dyDescent="0.2">
      <c r="A47" s="119"/>
      <c r="B47" s="119"/>
      <c r="C47" s="119"/>
      <c r="D47" s="120"/>
      <c r="E47" s="119"/>
      <c r="F47" s="119"/>
      <c r="G47" s="119"/>
      <c r="H47" s="119"/>
      <c r="N47" s="123"/>
      <c r="O47" s="119"/>
    </row>
    <row r="48" spans="1:15" x14ac:dyDescent="0.2">
      <c r="A48" s="119"/>
      <c r="B48" s="119"/>
      <c r="C48" s="119"/>
      <c r="D48" s="120"/>
      <c r="E48" s="119"/>
      <c r="F48" s="119"/>
      <c r="G48" s="119"/>
      <c r="H48" s="119"/>
      <c r="N48" s="122"/>
      <c r="O48" s="119"/>
    </row>
    <row r="49" spans="1:15" x14ac:dyDescent="0.2">
      <c r="A49" s="119"/>
      <c r="B49" s="119"/>
      <c r="C49" s="119"/>
      <c r="D49" s="120"/>
      <c r="E49" s="119"/>
      <c r="F49" s="119"/>
      <c r="G49" s="119"/>
      <c r="H49" s="119"/>
      <c r="N49" s="121"/>
      <c r="O49" s="119"/>
    </row>
    <row r="50" spans="1:15" x14ac:dyDescent="0.2">
      <c r="A50" s="119"/>
      <c r="B50" s="119"/>
      <c r="C50" s="119"/>
      <c r="D50" s="120"/>
      <c r="E50" s="119"/>
      <c r="F50" s="119"/>
      <c r="G50" s="119"/>
      <c r="H50" s="119"/>
      <c r="O50" s="119"/>
    </row>
    <row r="51" spans="1:15" x14ac:dyDescent="0.2">
      <c r="A51" s="119"/>
      <c r="B51" s="119"/>
      <c r="C51" s="119"/>
      <c r="D51" s="120"/>
      <c r="E51" s="119"/>
      <c r="F51" s="119"/>
      <c r="G51" s="119"/>
      <c r="H51" s="119"/>
      <c r="M51" s="119"/>
      <c r="O51" s="119"/>
    </row>
    <row r="52" spans="1:15" x14ac:dyDescent="0.2">
      <c r="A52" s="119"/>
      <c r="B52" s="119"/>
      <c r="C52" s="119"/>
      <c r="D52" s="120"/>
      <c r="E52" s="119"/>
      <c r="F52" s="119"/>
      <c r="G52" s="119"/>
      <c r="H52" s="119"/>
      <c r="I52" s="119"/>
      <c r="J52" s="119"/>
      <c r="K52" s="119"/>
      <c r="L52" s="119"/>
      <c r="M52" s="119"/>
      <c r="N52" s="119"/>
      <c r="O52" s="119"/>
    </row>
    <row r="53" spans="1:15" x14ac:dyDescent="0.2">
      <c r="A53" s="119"/>
      <c r="B53" s="119"/>
      <c r="C53" s="119"/>
      <c r="D53" s="120"/>
      <c r="E53" s="119"/>
      <c r="F53" s="119"/>
      <c r="G53" s="119"/>
      <c r="H53" s="119"/>
      <c r="I53" s="119"/>
      <c r="J53" s="119"/>
      <c r="K53" s="119"/>
      <c r="L53" s="119"/>
      <c r="M53" s="119"/>
      <c r="N53" s="119"/>
      <c r="O53" s="119"/>
    </row>
    <row r="54" spans="1:15" x14ac:dyDescent="0.2">
      <c r="A54" s="119"/>
      <c r="B54" s="119"/>
      <c r="C54" s="119"/>
      <c r="D54" s="120"/>
      <c r="E54" s="119"/>
      <c r="F54" s="119"/>
      <c r="G54" s="119"/>
      <c r="H54" s="119"/>
      <c r="I54" s="119"/>
      <c r="J54" s="119"/>
      <c r="K54" s="119"/>
      <c r="L54" s="119"/>
      <c r="M54" s="119"/>
      <c r="N54" s="119"/>
      <c r="O54" s="119"/>
    </row>
    <row r="55" spans="1:15" x14ac:dyDescent="0.2">
      <c r="A55" s="119"/>
      <c r="B55" s="119"/>
      <c r="C55" s="119"/>
      <c r="D55" s="120"/>
      <c r="E55" s="119"/>
      <c r="F55" s="119"/>
      <c r="G55" s="119"/>
      <c r="H55" s="119"/>
      <c r="I55" s="119"/>
      <c r="J55" s="119"/>
      <c r="K55" s="119"/>
      <c r="L55" s="119"/>
      <c r="M55" s="119"/>
      <c r="N55" s="119"/>
      <c r="O55" s="119"/>
    </row>
    <row r="56" spans="1:15" x14ac:dyDescent="0.2">
      <c r="A56" s="119"/>
      <c r="B56" s="119"/>
      <c r="C56" s="119"/>
      <c r="D56" s="120"/>
      <c r="E56" s="119"/>
      <c r="F56" s="119"/>
      <c r="G56" s="119"/>
      <c r="H56" s="119"/>
      <c r="I56" s="119"/>
      <c r="J56" s="119"/>
      <c r="K56" s="119"/>
      <c r="L56" s="119"/>
      <c r="M56" s="119"/>
      <c r="N56" s="119"/>
      <c r="O56" s="119"/>
    </row>
    <row r="57" spans="1:15" x14ac:dyDescent="0.2">
      <c r="A57" s="119"/>
      <c r="B57" s="119"/>
      <c r="C57" s="119"/>
      <c r="D57" s="120"/>
      <c r="E57" s="119"/>
      <c r="F57" s="119"/>
      <c r="G57" s="119"/>
      <c r="H57" s="119"/>
      <c r="I57" s="119"/>
      <c r="J57" s="119"/>
      <c r="K57" s="119"/>
      <c r="L57" s="119"/>
      <c r="M57" s="119"/>
      <c r="N57" s="119"/>
      <c r="O57" s="119"/>
    </row>
    <row r="58" spans="1:15" x14ac:dyDescent="0.2">
      <c r="A58" s="119"/>
      <c r="B58" s="119"/>
      <c r="C58" s="119"/>
      <c r="D58" s="120"/>
      <c r="E58" s="119"/>
      <c r="F58" s="119"/>
      <c r="G58" s="119"/>
      <c r="H58" s="119"/>
      <c r="I58" s="119"/>
      <c r="J58" s="119"/>
      <c r="K58" s="119"/>
      <c r="L58" s="119"/>
      <c r="M58" s="119"/>
      <c r="N58" s="119"/>
      <c r="O58" s="119"/>
    </row>
    <row r="59" spans="1:15" x14ac:dyDescent="0.2">
      <c r="A59" s="119"/>
      <c r="B59" s="119"/>
      <c r="C59" s="119"/>
      <c r="D59" s="120"/>
      <c r="E59" s="119"/>
      <c r="F59" s="119"/>
      <c r="G59" s="119"/>
      <c r="H59" s="119"/>
      <c r="I59" s="119"/>
      <c r="J59" s="119"/>
      <c r="K59" s="119"/>
      <c r="L59" s="119"/>
      <c r="M59" s="119"/>
      <c r="N59" s="119"/>
      <c r="O59" s="119"/>
    </row>
    <row r="60" spans="1:15" x14ac:dyDescent="0.2">
      <c r="A60" s="119"/>
      <c r="B60" s="119"/>
      <c r="C60" s="119"/>
      <c r="D60" s="120"/>
      <c r="E60" s="119"/>
      <c r="F60" s="119"/>
      <c r="G60" s="119"/>
      <c r="H60" s="119"/>
      <c r="I60" s="119"/>
      <c r="J60" s="119"/>
      <c r="K60" s="119"/>
      <c r="L60" s="119"/>
      <c r="M60" s="119"/>
      <c r="N60" s="119"/>
      <c r="O60" s="119"/>
    </row>
    <row r="61" spans="1:15" x14ac:dyDescent="0.2">
      <c r="B61" s="119"/>
      <c r="C61" s="119"/>
      <c r="D61" s="120"/>
      <c r="E61" s="119"/>
      <c r="F61" s="119"/>
      <c r="G61" s="119"/>
      <c r="H61" s="119"/>
      <c r="I61" s="119"/>
      <c r="J61" s="119"/>
      <c r="K61" s="119"/>
      <c r="L61" s="119"/>
    </row>
  </sheetData>
  <pageMargins left="0.70866141732283472" right="0.70866141732283472" top="0.74803149606299213" bottom="0.74803149606299213" header="0.31496062992125984" footer="0.31496062992125984"/>
  <pageSetup scale="78"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2B3D45-3F5A-5442-8892-689EE436A4C9}">
  <dimension ref="A1:G77"/>
  <sheetViews>
    <sheetView showGridLines="0" topLeftCell="A25" zoomScale="162" workbookViewId="0">
      <selection activeCell="A7" sqref="A7"/>
    </sheetView>
  </sheetViews>
  <sheetFormatPr baseColWidth="10" defaultRowHeight="16" x14ac:dyDescent="0.2"/>
  <cols>
    <col min="2" max="2" width="13.6640625" customWidth="1"/>
    <col min="4" max="4" width="14" customWidth="1"/>
    <col min="6" max="6" width="9.33203125" customWidth="1"/>
    <col min="9" max="9" width="0" hidden="1" customWidth="1"/>
  </cols>
  <sheetData>
    <row r="1" spans="1:1" ht="26" x14ac:dyDescent="0.2">
      <c r="A1" s="35" t="s">
        <v>126</v>
      </c>
    </row>
    <row r="2" spans="1:1" ht="18" x14ac:dyDescent="0.2">
      <c r="A2" s="36" t="s">
        <v>125</v>
      </c>
    </row>
    <row r="3" spans="1:1" x14ac:dyDescent="0.2">
      <c r="A3" t="s">
        <v>127</v>
      </c>
    </row>
    <row r="4" spans="1:1" x14ac:dyDescent="0.2">
      <c r="A4" t="s">
        <v>128</v>
      </c>
    </row>
    <row r="5" spans="1:1" x14ac:dyDescent="0.2">
      <c r="A5" t="s">
        <v>129</v>
      </c>
    </row>
    <row r="7" spans="1:1" ht="18" x14ac:dyDescent="0.2">
      <c r="A7" s="36" t="s">
        <v>131</v>
      </c>
    </row>
    <row r="8" spans="1:1" x14ac:dyDescent="0.2">
      <c r="A8" t="s">
        <v>130</v>
      </c>
    </row>
    <row r="10" spans="1:1" ht="26" x14ac:dyDescent="0.2">
      <c r="A10" s="35" t="s">
        <v>132</v>
      </c>
    </row>
    <row r="11" spans="1:1" x14ac:dyDescent="0.2">
      <c r="A11" t="s">
        <v>133</v>
      </c>
    </row>
    <row r="12" spans="1:1" x14ac:dyDescent="0.2">
      <c r="A12" t="s">
        <v>134</v>
      </c>
    </row>
    <row r="13" spans="1:1" x14ac:dyDescent="0.2">
      <c r="A13" t="s">
        <v>135</v>
      </c>
    </row>
    <row r="16" spans="1:1" ht="26" x14ac:dyDescent="0.2">
      <c r="A16" s="35" t="s">
        <v>140</v>
      </c>
    </row>
    <row r="17" spans="1:7" ht="18" x14ac:dyDescent="0.2">
      <c r="A17" s="36" t="s">
        <v>141</v>
      </c>
    </row>
    <row r="18" spans="1:7" ht="80" customHeight="1" x14ac:dyDescent="0.2">
      <c r="A18" s="40" t="s">
        <v>149</v>
      </c>
      <c r="B18" s="40"/>
      <c r="C18" s="40"/>
      <c r="D18" s="40"/>
      <c r="E18" s="40"/>
    </row>
    <row r="19" spans="1:7" x14ac:dyDescent="0.2">
      <c r="A19" s="40"/>
      <c r="B19" s="40"/>
      <c r="C19" s="40"/>
      <c r="D19" s="40"/>
      <c r="E19" s="40"/>
    </row>
    <row r="20" spans="1:7" x14ac:dyDescent="0.2">
      <c r="A20" s="40"/>
      <c r="B20" s="40"/>
      <c r="C20" s="40"/>
      <c r="D20" s="40"/>
      <c r="E20" s="40"/>
    </row>
    <row r="21" spans="1:7" x14ac:dyDescent="0.2">
      <c r="A21" s="41"/>
      <c r="B21" s="41"/>
      <c r="C21" t="s">
        <v>161</v>
      </c>
      <c r="D21" s="41"/>
      <c r="E21" s="41"/>
    </row>
    <row r="22" spans="1:7" x14ac:dyDescent="0.2">
      <c r="A22" s="41"/>
      <c r="B22" s="41"/>
      <c r="C22" t="s">
        <v>143</v>
      </c>
      <c r="D22" s="41"/>
      <c r="E22" s="41"/>
    </row>
    <row r="23" spans="1:7" x14ac:dyDescent="0.2">
      <c r="A23" s="41"/>
      <c r="B23" s="41"/>
      <c r="C23" s="41"/>
      <c r="D23" s="41"/>
      <c r="E23" s="41"/>
    </row>
    <row r="24" spans="1:7" ht="18" x14ac:dyDescent="0.2">
      <c r="A24" s="36" t="s">
        <v>142</v>
      </c>
    </row>
    <row r="25" spans="1:7" ht="55" customHeight="1" x14ac:dyDescent="0.2">
      <c r="A25" s="40" t="s">
        <v>150</v>
      </c>
      <c r="B25" s="40"/>
      <c r="C25" s="40"/>
      <c r="D25" s="40"/>
      <c r="E25" s="40"/>
    </row>
    <row r="26" spans="1:7" x14ac:dyDescent="0.2">
      <c r="A26" s="40"/>
      <c r="B26" s="40"/>
      <c r="C26" s="40"/>
      <c r="D26" s="40"/>
      <c r="E26" s="40"/>
      <c r="G26" s="37"/>
    </row>
    <row r="27" spans="1:7" x14ac:dyDescent="0.2">
      <c r="A27" s="40"/>
      <c r="B27" s="40"/>
      <c r="C27" s="40"/>
      <c r="D27" s="40"/>
      <c r="E27" s="40"/>
    </row>
    <row r="28" spans="1:7" x14ac:dyDescent="0.2">
      <c r="A28" s="41"/>
      <c r="B28" s="41"/>
      <c r="C28" s="41"/>
    </row>
    <row r="29" spans="1:7" x14ac:dyDescent="0.2">
      <c r="A29" s="41"/>
      <c r="B29" s="41"/>
      <c r="C29" t="s">
        <v>161</v>
      </c>
      <c r="D29" s="41"/>
    </row>
    <row r="30" spans="1:7" x14ac:dyDescent="0.2">
      <c r="A30" s="41"/>
      <c r="B30" s="41"/>
      <c r="C30" t="s">
        <v>144</v>
      </c>
      <c r="D30" s="41"/>
      <c r="E30" s="41"/>
    </row>
    <row r="31" spans="1:7" ht="18" x14ac:dyDescent="0.2">
      <c r="A31" s="36" t="s">
        <v>145</v>
      </c>
    </row>
    <row r="32" spans="1:7" ht="49" customHeight="1" x14ac:dyDescent="0.2">
      <c r="A32" s="40" t="s">
        <v>151</v>
      </c>
      <c r="B32" s="40"/>
      <c r="C32" s="40"/>
      <c r="D32" s="40" t="s">
        <v>147</v>
      </c>
      <c r="E32" s="40"/>
    </row>
    <row r="33" spans="1:6" x14ac:dyDescent="0.2">
      <c r="A33" s="40"/>
      <c r="B33" s="40"/>
      <c r="C33" s="40"/>
      <c r="D33" s="40" t="s">
        <v>148</v>
      </c>
      <c r="E33" s="40"/>
    </row>
    <row r="34" spans="1:6" x14ac:dyDescent="0.2">
      <c r="A34" s="40"/>
      <c r="B34" s="40"/>
      <c r="C34" s="40"/>
      <c r="D34" s="40"/>
      <c r="E34" s="40"/>
    </row>
    <row r="35" spans="1:6" x14ac:dyDescent="0.2">
      <c r="A35" s="41"/>
      <c r="B35" s="41"/>
      <c r="C35" s="41"/>
      <c r="D35" s="41"/>
      <c r="E35" s="41"/>
      <c r="F35" t="s">
        <v>229</v>
      </c>
    </row>
    <row r="36" spans="1:6" x14ac:dyDescent="0.2">
      <c r="A36" s="41"/>
      <c r="B36" s="41"/>
      <c r="C36" s="41"/>
      <c r="D36" s="41"/>
      <c r="E36" s="41"/>
      <c r="F36" t="s">
        <v>231</v>
      </c>
    </row>
    <row r="37" spans="1:6" x14ac:dyDescent="0.2">
      <c r="A37" s="41"/>
      <c r="B37" s="41"/>
      <c r="C37" s="41"/>
      <c r="D37" s="41"/>
      <c r="E37" s="41"/>
    </row>
    <row r="38" spans="1:6" x14ac:dyDescent="0.2">
      <c r="A38" s="41"/>
      <c r="B38" s="41"/>
      <c r="C38" s="41"/>
      <c r="D38" s="41"/>
      <c r="E38" s="41"/>
    </row>
    <row r="39" spans="1:6" ht="18" x14ac:dyDescent="0.2">
      <c r="A39" s="36" t="s">
        <v>146</v>
      </c>
    </row>
    <row r="40" spans="1:6" ht="47" customHeight="1" x14ac:dyDescent="0.2">
      <c r="A40" s="40" t="s">
        <v>152</v>
      </c>
      <c r="B40" s="40"/>
      <c r="C40" s="40"/>
      <c r="D40" s="40"/>
      <c r="E40" s="40"/>
    </row>
    <row r="41" spans="1:6" x14ac:dyDescent="0.2">
      <c r="A41" s="40"/>
      <c r="B41" s="40"/>
      <c r="C41" s="40"/>
      <c r="D41" s="40"/>
      <c r="E41" s="40"/>
    </row>
    <row r="42" spans="1:6" x14ac:dyDescent="0.2">
      <c r="A42" s="40"/>
      <c r="B42" s="40"/>
      <c r="C42" s="40"/>
      <c r="D42" s="40"/>
      <c r="E42" s="40"/>
    </row>
    <row r="49" spans="1:2" ht="26" x14ac:dyDescent="0.2">
      <c r="A49" s="35" t="s">
        <v>153</v>
      </c>
    </row>
    <row r="55" spans="1:2" x14ac:dyDescent="0.2">
      <c r="A55" t="s">
        <v>154</v>
      </c>
    </row>
    <row r="56" spans="1:2" x14ac:dyDescent="0.2">
      <c r="A56" t="s">
        <v>155</v>
      </c>
      <c r="B56">
        <f>1242/(0.134-0.08)</f>
        <v>22999.999999999996</v>
      </c>
    </row>
    <row r="60" spans="1:2" ht="26" x14ac:dyDescent="0.2">
      <c r="A60" s="35" t="s">
        <v>156</v>
      </c>
    </row>
    <row r="61" spans="1:2" x14ac:dyDescent="0.2">
      <c r="A61" t="s">
        <v>157</v>
      </c>
    </row>
    <row r="62" spans="1:2" x14ac:dyDescent="0.2">
      <c r="A62" t="s">
        <v>136</v>
      </c>
    </row>
    <row r="66" spans="1:1" ht="26" x14ac:dyDescent="0.2">
      <c r="A66" s="35" t="s">
        <v>158</v>
      </c>
    </row>
    <row r="67" spans="1:1" x14ac:dyDescent="0.2">
      <c r="A67" t="s">
        <v>159</v>
      </c>
    </row>
    <row r="68" spans="1:1" x14ac:dyDescent="0.2">
      <c r="A68" t="s">
        <v>160</v>
      </c>
    </row>
    <row r="77" spans="1:1" ht="26" x14ac:dyDescent="0.2">
      <c r="A77" s="35"/>
    </row>
  </sheetData>
  <mergeCells count="4">
    <mergeCell ref="A18:E20"/>
    <mergeCell ref="A25:E27"/>
    <mergeCell ref="A32:E34"/>
    <mergeCell ref="A40:E42"/>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17</vt:i4>
      </vt:variant>
    </vt:vector>
  </HeadingPairs>
  <TitlesOfParts>
    <vt:vector size="17" baseType="lpstr">
      <vt:lpstr>PROG</vt:lpstr>
      <vt:lpstr>REPASO</vt:lpstr>
      <vt:lpstr>GUIA 1</vt:lpstr>
      <vt:lpstr>GUIA 2</vt:lpstr>
      <vt:lpstr>T2_19.06</vt:lpstr>
      <vt:lpstr>T1_05.06</vt:lpstr>
      <vt:lpstr>DAMODARAN</vt:lpstr>
      <vt:lpstr>DCF Model</vt:lpstr>
      <vt:lpstr>C14_22.05</vt:lpstr>
      <vt:lpstr>C15_29.05</vt:lpstr>
      <vt:lpstr>C16_02.06</vt:lpstr>
      <vt:lpstr>C17_05.06</vt:lpstr>
      <vt:lpstr>C18_09.06 </vt:lpstr>
      <vt:lpstr>C19_10.06</vt:lpstr>
      <vt:lpstr>C20_12.06</vt:lpstr>
      <vt:lpstr>C21_16.06</vt:lpstr>
      <vt:lpstr>F</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Federico López</dc:creator>
  <cp:lastModifiedBy>Federico Lopez</cp:lastModifiedBy>
  <dcterms:created xsi:type="dcterms:W3CDTF">2023-05-22T21:17:30Z</dcterms:created>
  <dcterms:modified xsi:type="dcterms:W3CDTF">2023-07-13T23:57:31Z</dcterms:modified>
</cp:coreProperties>
</file>